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8955" windowHeight="11145" tabRatio="902" firstSheet="12" activeTab="14"/>
  </bookViews>
  <sheets>
    <sheet name="Показатели" sheetId="1" r:id="rId1"/>
    <sheet name="Долгосрочные показатели " sheetId="2" r:id="rId2"/>
    <sheet name="КАИП " sheetId="3" r:id="rId3"/>
    <sheet name="Распределение расходов" sheetId="4" r:id="rId4"/>
    <sheet name="НИД" sheetId="5" r:id="rId5"/>
    <sheet name="Ресурсное обеспечение" sheetId="6" r:id="rId6"/>
    <sheet name="Гос.задания" sheetId="7" r:id="rId7"/>
    <sheet name="Показатели подпрограммы 1" sheetId="8" r:id="rId8"/>
    <sheet name="Мероприятия подпрограммы 1" sheetId="9" r:id="rId9"/>
    <sheet name="Показатели подпрограммы 2" sheetId="10" r:id="rId10"/>
    <sheet name="!!!Мероприятия подпрограммы 2" sheetId="11" r:id="rId11"/>
    <sheet name="Показатели подпрограммы 3" sheetId="12" r:id="rId12"/>
    <sheet name="!!!Мероприятия подпрограммы 3" sheetId="13" r:id="rId13"/>
    <sheet name="Показатели подпрограммы 4" sheetId="14" r:id="rId14"/>
    <sheet name="!!!Мероприятия подпрограммы 4" sheetId="15" r:id="rId15"/>
  </sheets>
  <externalReferences>
    <externalReference r:id="rId18"/>
  </externalReferences>
  <definedNames>
    <definedName name="_xlnm._FilterDatabase" localSheetId="2" hidden="1">'КАИП '!$A$5:$I$5</definedName>
    <definedName name="_xlnm._FilterDatabase" localSheetId="8" hidden="1">'Мероприятия подпрограммы 1'!$A$4:$Q$107</definedName>
    <definedName name="Z_2166B299_1DBB_4BE8_98C9_E9EFB21DCA26_.wvu.FilterData" localSheetId="8" hidden="1">'Мероприятия подпрограммы 1'!$A$4:$Q$107</definedName>
    <definedName name="Z_2715DACA_7FC2_4162_875B_92B3FB82D8B1_.wvu.FilterData" localSheetId="8" hidden="1">'Мероприятия подпрограммы 1'!$A$4:$Q$107</definedName>
    <definedName name="Z_29BFB567_1C85_481C_A8AF_8210D8E0792F_.wvu.FilterData" localSheetId="8" hidden="1">'Мероприятия подпрограммы 1'!$A$4:$Q$107</definedName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Cols" localSheetId="7" hidden="1">'Показатели подпрограммы 1'!$D:$D</definedName>
    <definedName name="Z_4767DD30_F6FB_4FF0_A429_8866A8232500_.wvu.Cols" localSheetId="9" hidden="1">'Показатели подпрограммы 2'!$E:$E</definedName>
    <definedName name="Z_4767DD30_F6FB_4FF0_A429_8866A8232500_.wvu.Cols" localSheetId="11" hidden="1">'Показатели подпрограммы 3'!$E:$E</definedName>
    <definedName name="Z_4767DD30_F6FB_4FF0_A429_8866A8232500_.wvu.FilterData" localSheetId="2" hidden="1">'КАИП '!$A$5:$I$5</definedName>
    <definedName name="Z_4767DD30_F6FB_4FF0_A429_8866A8232500_.wvu.FilterData" localSheetId="8" hidden="1">'Мероприятия подпрограммы 1'!$A$4:$Q$107</definedName>
    <definedName name="Z_4767DD30_F6FB_4FF0_A429_8866A8232500_.wvu.PrintArea" localSheetId="10" hidden="1">'!!!Мероприятия подпрограммы 2'!$A$1:$N$30</definedName>
    <definedName name="Z_4767DD30_F6FB_4FF0_A429_8866A8232500_.wvu.PrintArea" localSheetId="12" hidden="1">'!!!Мероприятия подпрограммы 3'!$A$1:$N$61</definedName>
    <definedName name="Z_4767DD30_F6FB_4FF0_A429_8866A8232500_.wvu.PrintArea" localSheetId="14" hidden="1">'!!!Мероприятия подпрограммы 4'!$A$1:$N$19</definedName>
    <definedName name="Z_4767DD30_F6FB_4FF0_A429_8866A8232500_.wvu.PrintArea" localSheetId="6" hidden="1">'Гос.задания'!$A$1:$M$19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2" hidden="1">'КАИП '!$A$1:$I$19</definedName>
    <definedName name="Z_4767DD30_F6FB_4FF0_A429_8866A8232500_.wvu.PrintArea" localSheetId="8" hidden="1">'Мероприятия подпрограммы 1'!$A$1:$N$107</definedName>
    <definedName name="Z_4767DD30_F6FB_4FF0_A429_8866A8232500_.wvu.PrintArea" localSheetId="0" hidden="1">'Показатели'!$A$1:$K$51</definedName>
    <definedName name="Z_4767DD30_F6FB_4FF0_A429_8866A8232500_.wvu.PrintArea" localSheetId="7" hidden="1">'Показатели подпрограммы 1'!$A$1:$H$31</definedName>
    <definedName name="Z_4767DD30_F6FB_4FF0_A429_8866A8232500_.wvu.PrintArea" localSheetId="9" hidden="1">'Показатели подпрограммы 2'!$A$1:$J$9</definedName>
    <definedName name="Z_4767DD30_F6FB_4FF0_A429_8866A8232500_.wvu.PrintArea" localSheetId="11" hidden="1">'Показатели подпрограммы 3'!$A$1:$I$12</definedName>
    <definedName name="Z_4767DD30_F6FB_4FF0_A429_8866A8232500_.wvu.PrintArea" localSheetId="13" hidden="1">'Показатели подпрограммы 4'!$A$1:$H$12</definedName>
    <definedName name="Z_4767DD30_F6FB_4FF0_A429_8866A8232500_.wvu.PrintArea" localSheetId="3" hidden="1">'Распределение расходов'!$A$1:$M$29</definedName>
    <definedName name="Z_4767DD30_F6FB_4FF0_A429_8866A8232500_.wvu.PrintArea" localSheetId="5" hidden="1">'Ресурсное обеспечение'!$A$1:$I$40</definedName>
    <definedName name="Z_4767DD30_F6FB_4FF0_A429_8866A8232500_.wvu.PrintTitles" localSheetId="10" hidden="1">'!!!Мероприятия подпрограммы 2'!$3:$4</definedName>
    <definedName name="Z_4767DD30_F6FB_4FF0_A429_8866A8232500_.wvu.PrintTitles" localSheetId="12" hidden="1">'!!!Мероприятия подпрограммы 3'!$3:$4</definedName>
    <definedName name="Z_4767DD30_F6FB_4FF0_A429_8866A8232500_.wvu.PrintTitles" localSheetId="14" hidden="1">'!!!Мероприятия подпрограммы 4'!$3:$4</definedName>
    <definedName name="Z_4767DD30_F6FB_4FF0_A429_8866A8232500_.wvu.PrintTitles" localSheetId="6" hidden="1">'Гос.задания'!$3:$4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2" hidden="1">'КАИП '!$3:$5</definedName>
    <definedName name="Z_4767DD30_F6FB_4FF0_A429_8866A8232500_.wvu.PrintTitles" localSheetId="8" hidden="1">'Мероприятия подпрограммы 1'!$3:$4</definedName>
    <definedName name="Z_4767DD30_F6FB_4FF0_A429_8866A8232500_.wvu.PrintTitles" localSheetId="0" hidden="1">'Показатели'!$3:$5</definedName>
    <definedName name="Z_4767DD30_F6FB_4FF0_A429_8866A8232500_.wvu.PrintTitles" localSheetId="7" hidden="1">'Показатели подпрограммы 1'!$3:$5</definedName>
    <definedName name="Z_4767DD30_F6FB_4FF0_A429_8866A8232500_.wvu.PrintTitles" localSheetId="9" hidden="1">'Показатели подпрограммы 2'!$3:$5</definedName>
    <definedName name="Z_4767DD30_F6FB_4FF0_A429_8866A8232500_.wvu.PrintTitles" localSheetId="11" hidden="1">'Показатели подпрограммы 3'!$3:$5</definedName>
    <definedName name="Z_4767DD30_F6FB_4FF0_A429_8866A8232500_.wvu.PrintTitles" localSheetId="3" hidden="1">'Распределение расходов'!$3:$4</definedName>
    <definedName name="Z_4767DD30_F6FB_4FF0_A429_8866A8232500_.wvu.PrintTitles" localSheetId="5" hidden="1">'Ресурсное обеспечение'!$3:$4</definedName>
    <definedName name="Z_4767DD30_F6FB_4FF0_A429_8866A8232500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4767DD30_F6FB_4FF0_A429_8866A8232500_.wvu.Rows" localSheetId="12" hidden="1">'!!!Мероприятия подпрограммы 3'!#REF!,'!!!Мероприятия подпрограммы 3'!$36:$36,'!!!Мероприятия подпрограммы 3'!$38:$38,'!!!Мероприятия подпрограммы 3'!$42:$42,'!!!Мероприятия подпрограммы 3'!$44:$44,'!!!Мероприятия подпрограммы 3'!$48:$49,'!!!Мероприятия подпрограммы 3'!$52:$52,'!!!Мероприятия подпрограммы 3'!$59:$60</definedName>
    <definedName name="Z_4767DD30_F6FB_4FF0_A429_8866A8232500_.wvu.Rows" localSheetId="14" hidden="1">'!!!Мероприятия подпрограммы 4'!#REF!,'!!!Мероприятия подпрограммы 4'!#REF!</definedName>
    <definedName name="Z_4767DD30_F6FB_4FF0_A429_8866A8232500_.wvu.Rows" localSheetId="2" hidden="1">'КАИП '!#REF!,'КАИП '!$17:$18</definedName>
    <definedName name="Z_4767DD30_F6FB_4FF0_A429_8866A8232500_.wvu.Rows" localSheetId="8" hidden="1">'Мероприятия подпрограммы 1'!$10:$10,'Мероприятия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484BD7FD_1D3D_4528_954E_A98D5B59AC9C_.wvu.FilterData" localSheetId="8" hidden="1">'Мероприятия подпрограммы 1'!$A$4:$Q$107</definedName>
    <definedName name="Z_7C917F30_361A_4C86_9002_2134EAE2E3CF_.wvu.Cols" localSheetId="7" hidden="1">'Показатели подпрограммы 1'!$D:$D</definedName>
    <definedName name="Z_7C917F30_361A_4C86_9002_2134EAE2E3CF_.wvu.Cols" localSheetId="9" hidden="1">'Показатели подпрограммы 2'!$E:$E</definedName>
    <definedName name="Z_7C917F30_361A_4C86_9002_2134EAE2E3CF_.wvu.Cols" localSheetId="11" hidden="1">'Показатели подпрограммы 3'!$E:$E</definedName>
    <definedName name="Z_7C917F30_361A_4C86_9002_2134EAE2E3CF_.wvu.FilterData" localSheetId="2" hidden="1">'КАИП '!$A$5:$I$5</definedName>
    <definedName name="Z_7C917F30_361A_4C86_9002_2134EAE2E3CF_.wvu.FilterData" localSheetId="8" hidden="1">'Мероприятия подпрограммы 1'!$A$4:$Q$107</definedName>
    <definedName name="Z_7C917F30_361A_4C86_9002_2134EAE2E3CF_.wvu.PrintArea" localSheetId="10" hidden="1">'!!!Мероприятия подпрограммы 2'!$A$1:$N$30</definedName>
    <definedName name="Z_7C917F30_361A_4C86_9002_2134EAE2E3CF_.wvu.PrintArea" localSheetId="6" hidden="1">'Гос.задания'!$A$1:$M$19</definedName>
    <definedName name="Z_7C917F30_361A_4C86_9002_2134EAE2E3CF_.wvu.PrintArea" localSheetId="8" hidden="1">'Мероприятия подпрограммы 1'!$A$1:$N$107</definedName>
    <definedName name="Z_7C917F30_361A_4C86_9002_2134EAE2E3CF_.wvu.PrintArea" localSheetId="7" hidden="1">'Показатели подпрограммы 1'!$A$1:$H$31</definedName>
    <definedName name="Z_7C917F30_361A_4C86_9002_2134EAE2E3CF_.wvu.PrintArea" localSheetId="9" hidden="1">'Показатели подпрограммы 2'!$A$1:$J$9</definedName>
    <definedName name="Z_7C917F30_361A_4C86_9002_2134EAE2E3CF_.wvu.PrintArea" localSheetId="11" hidden="1">'Показатели подпрограммы 3'!$A$1:$I$12</definedName>
    <definedName name="Z_7C917F30_361A_4C86_9002_2134EAE2E3CF_.wvu.PrintArea" localSheetId="13" hidden="1">'Показатели подпрограммы 4'!$A$1:$H$12</definedName>
    <definedName name="Z_7C917F30_361A_4C86_9002_2134EAE2E3CF_.wvu.PrintArea" localSheetId="5" hidden="1">'Ресурсное обеспечение'!$A$1:$I$40</definedName>
    <definedName name="Z_7C917F30_361A_4C86_9002_2134EAE2E3CF_.wvu.PrintTitles" localSheetId="10" hidden="1">'!!!Мероприятия подпрограммы 2'!$3:$4</definedName>
    <definedName name="Z_7C917F30_361A_4C86_9002_2134EAE2E3CF_.wvu.PrintTitles" localSheetId="12" hidden="1">'!!!Мероприятия подпрограммы 3'!$3:$4</definedName>
    <definedName name="Z_7C917F30_361A_4C86_9002_2134EAE2E3CF_.wvu.PrintTitles" localSheetId="14" hidden="1">'!!!Мероприятия подпрограммы 4'!$3:$4</definedName>
    <definedName name="Z_7C917F30_361A_4C86_9002_2134EAE2E3CF_.wvu.PrintTitles" localSheetId="6" hidden="1">'Гос.задания'!$3:$4</definedName>
    <definedName name="Z_7C917F30_361A_4C86_9002_2134EAE2E3CF_.wvu.PrintTitles" localSheetId="8" hidden="1">'Мероприятия подпрограммы 1'!$3:$4</definedName>
    <definedName name="Z_7C917F30_361A_4C86_9002_2134EAE2E3CF_.wvu.PrintTitles" localSheetId="7" hidden="1">'Показатели подпрограммы 1'!$3:$5</definedName>
    <definedName name="Z_7C917F30_361A_4C86_9002_2134EAE2E3CF_.wvu.PrintTitles" localSheetId="9" hidden="1">'Показатели подпрограммы 2'!$3:$5</definedName>
    <definedName name="Z_7C917F30_361A_4C86_9002_2134EAE2E3CF_.wvu.PrintTitles" localSheetId="11" hidden="1">'Показатели подпрограммы 3'!$3:$5</definedName>
    <definedName name="Z_7C917F30_361A_4C86_9002_2134EAE2E3CF_.wvu.PrintTitles" localSheetId="5" hidden="1">'Ресурсное обеспечение'!$3:$4</definedName>
    <definedName name="Z_7C917F30_361A_4C86_9002_2134EAE2E3CF_.wvu.Rows" localSheetId="10" hidden="1">'!!!Мероприятия подпрограммы 2'!$8:$8,'!!!Мероприятия подпрограммы 2'!#REF!,'!!!Мероприятия подпрограммы 2'!$13:$19,'!!!Мероприятия подпрограммы 2'!$25:$25</definedName>
    <definedName name="Z_7C917F30_361A_4C86_9002_2134EAE2E3CF_.wvu.Rows" localSheetId="12" hidden="1">'!!!Мероприятия подпрограммы 3'!#REF!,'!!!Мероприятия подпрограммы 3'!#REF!,'!!!Мероприятия подпрограммы 3'!$36:$36,'!!!Мероприятия подпрограммы 3'!$38:$38,'!!!Мероприятия подпрограммы 3'!$59:$60</definedName>
    <definedName name="Z_7C917F30_361A_4C86_9002_2134EAE2E3CF_.wvu.Rows" localSheetId="14" hidden="1">'!!!Мероприятия подпрограммы 4'!#REF!,'!!!Мероприятия подпрограммы 4'!#REF!</definedName>
    <definedName name="Z_7C917F30_361A_4C86_9002_2134EAE2E3CF_.wvu.Rows" localSheetId="8" hidden="1">'Мероприятия подпрограммы 1'!$10:$10,'Мероприятия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1'!#REF!,'Мероприятия подпрограммы 1'!#REF!</definedName>
    <definedName name="Z_81F2AFB8_21DA_4513_90AB_0A09D7D72D56_.wvu.FilterData" localSheetId="8" hidden="1">'Мероприятия подпрограммы 1'!$A$4:$Q$107</definedName>
    <definedName name="Z_AD6F79BD_847B_4421_A1AA_268A55FACAB4_.wvu.FilterData" localSheetId="8" hidden="1">'Мероприятия подпрограммы 1'!$A$4:$Q$107</definedName>
    <definedName name="Z_B45C2115_52AF_4E7B_8578_551FB3CF371E_.wvu.FilterData" localSheetId="8" hidden="1">'Мероприятия подпрограммы 1'!$A$4:$Q$107</definedName>
    <definedName name="Z_C75D4C66_EC35_48DB_8FCD_E29923CDB091_.wvu.FilterData" localSheetId="8" hidden="1">'Мероприятия подпрограммы 1'!$A$4:$Q$107</definedName>
    <definedName name="Z_CDE1D6F6_68DF_42F8_B01A_FF6465B24CCD_.wvu.Cols" localSheetId="7" hidden="1">'Показатели подпрограммы 1'!$D:$D</definedName>
    <definedName name="Z_CDE1D6F6_68DF_42F8_B01A_FF6465B24CCD_.wvu.Cols" localSheetId="9" hidden="1">'Показатели подпрограммы 2'!$E:$E</definedName>
    <definedName name="Z_CDE1D6F6_68DF_42F8_B01A_FF6465B24CCD_.wvu.Cols" localSheetId="11" hidden="1">'Показатели подпрограммы 3'!$E:$E</definedName>
    <definedName name="Z_CDE1D6F6_68DF_42F8_B01A_FF6465B24CCD_.wvu.FilterData" localSheetId="2" hidden="1">'КАИП '!$A$5:$I$5</definedName>
    <definedName name="Z_CDE1D6F6_68DF_42F8_B01A_FF6465B24CCD_.wvu.FilterData" localSheetId="8" hidden="1">'Мероприятия подпрограммы 1'!$A$4:$Q$107</definedName>
    <definedName name="Z_CDE1D6F6_68DF_42F8_B01A_FF6465B24CCD_.wvu.PrintArea" localSheetId="10" hidden="1">'!!!Мероприятия подпрограммы 2'!$A$1:$N$30</definedName>
    <definedName name="Z_CDE1D6F6_68DF_42F8_B01A_FF6465B24CCD_.wvu.PrintArea" localSheetId="12" hidden="1">'!!!Мероприятия подпрограммы 3'!$A$1:$N$61</definedName>
    <definedName name="Z_CDE1D6F6_68DF_42F8_B01A_FF6465B24CCD_.wvu.PrintArea" localSheetId="14" hidden="1">'!!!Мероприятия подпрограммы 4'!$A$1:$N$19</definedName>
    <definedName name="Z_CDE1D6F6_68DF_42F8_B01A_FF6465B24CCD_.wvu.PrintArea" localSheetId="6" hidden="1">'Гос.задания'!$A$1:$M$19</definedName>
    <definedName name="Z_CDE1D6F6_68DF_42F8_B01A_FF6465B24CCD_.wvu.PrintArea" localSheetId="8" hidden="1">'Мероприятия подпрограммы 1'!$A$1:$N$107</definedName>
    <definedName name="Z_CDE1D6F6_68DF_42F8_B01A_FF6465B24CCD_.wvu.PrintArea" localSheetId="7" hidden="1">'Показатели подпрограммы 1'!$A$1:$H$31</definedName>
    <definedName name="Z_CDE1D6F6_68DF_42F8_B01A_FF6465B24CCD_.wvu.PrintArea" localSheetId="9" hidden="1">'Показатели подпрограммы 2'!$A$1:$J$9</definedName>
    <definedName name="Z_CDE1D6F6_68DF_42F8_B01A_FF6465B24CCD_.wvu.PrintArea" localSheetId="11" hidden="1">'Показатели подпрограммы 3'!$A$1:$I$12</definedName>
    <definedName name="Z_CDE1D6F6_68DF_42F8_B01A_FF6465B24CCD_.wvu.PrintArea" localSheetId="13" hidden="1">'Показатели подпрограммы 4'!$A$1:$H$12</definedName>
    <definedName name="Z_CDE1D6F6_68DF_42F8_B01A_FF6465B24CCD_.wvu.PrintArea" localSheetId="3" hidden="1">'Распределение расходов'!$A$1:$M$29</definedName>
    <definedName name="Z_CDE1D6F6_68DF_42F8_B01A_FF6465B24CCD_.wvu.PrintArea" localSheetId="5" hidden="1">'Ресурсное обеспечение'!$A$1:$I$40</definedName>
    <definedName name="Z_CDE1D6F6_68DF_42F8_B01A_FF6465B24CCD_.wvu.PrintTitles" localSheetId="10" hidden="1">'!!!Мероприятия подпрограммы 2'!$3:$4</definedName>
    <definedName name="Z_CDE1D6F6_68DF_42F8_B01A_FF6465B24CCD_.wvu.PrintTitles" localSheetId="12" hidden="1">'!!!Мероприятия подпрограммы 3'!$3:$4</definedName>
    <definedName name="Z_CDE1D6F6_68DF_42F8_B01A_FF6465B24CCD_.wvu.PrintTitles" localSheetId="14" hidden="1">'!!!Мероприятия подпрограммы 4'!$3:$4</definedName>
    <definedName name="Z_CDE1D6F6_68DF_42F8_B01A_FF6465B24CCD_.wvu.PrintTitles" localSheetId="6" hidden="1">'Гос.задания'!$3:$4</definedName>
    <definedName name="Z_CDE1D6F6_68DF_42F8_B01A_FF6465B24CCD_.wvu.PrintTitles" localSheetId="8" hidden="1">'Мероприятия подпрограммы 1'!$3:$4</definedName>
    <definedName name="Z_CDE1D6F6_68DF_42F8_B01A_FF6465B24CCD_.wvu.PrintTitles" localSheetId="7" hidden="1">'Показатели подпрограммы 1'!$3:$5</definedName>
    <definedName name="Z_CDE1D6F6_68DF_42F8_B01A_FF6465B24CCD_.wvu.PrintTitles" localSheetId="9" hidden="1">'Показатели подпрограммы 2'!$3:$5</definedName>
    <definedName name="Z_CDE1D6F6_68DF_42F8_B01A_FF6465B24CCD_.wvu.PrintTitles" localSheetId="11" hidden="1">'Показатели подпрограммы 3'!$3:$5</definedName>
    <definedName name="Z_CDE1D6F6_68DF_42F8_B01A_FF6465B24CCD_.wvu.PrintTitles" localSheetId="3" hidden="1">'Распределение расходов'!$3:$4</definedName>
    <definedName name="Z_CDE1D6F6_68DF_42F8_B01A_FF6465B24CCD_.wvu.PrintTitles" localSheetId="5" hidden="1">'Ресурсное обеспечение'!$3:$4</definedName>
    <definedName name="Z_CDE1D6F6_68DF_42F8_B01A_FF6465B24CCD_.wvu.Rows" localSheetId="10" hidden="1">'!!!Мероприятия подпрограммы 2'!$7:$8,'!!!Мероприятия подпрограммы 2'!#REF!,'!!!Мероприятия подпрограммы 2'!$13:$19,'!!!Мероприятия подпрограммы 2'!$22:$22,'!!!Мероприятия подпрограммы 2'!$24:$25,'!!!Мероприятия подпрограммы 2'!#REF!,'!!!Мероприятия подпрограммы 2'!$29:$29</definedName>
    <definedName name="Z_CDE1D6F6_68DF_42F8_B01A_FF6465B24CCD_.wvu.Rows" localSheetId="12" hidden="1">'!!!Мероприятия подпрограммы 3'!#REF!,'!!!Мероприятия подпрограммы 3'!$36:$36,'!!!Мероприятия подпрограммы 3'!$38:$38,'!!!Мероприятия подпрограммы 3'!$42:$42,'!!!Мероприятия подпрограммы 3'!$44:$44,'!!!Мероприятия подпрограммы 3'!$48:$49,'!!!Мероприятия подпрограммы 3'!$52:$52,'!!!Мероприятия подпрограммы 3'!$59:$60</definedName>
    <definedName name="Z_CDE1D6F6_68DF_42F8_B01A_FF6465B24CCD_.wvu.Rows" localSheetId="14" hidden="1">'!!!Мероприятия подпрограммы 4'!#REF!,'!!!Мероприятия подпрограммы 4'!#REF!</definedName>
    <definedName name="Z_D97B14A5_4ECD_4EB7_B8A7_D41E462F19A2_.wvu.FilterData" localSheetId="8" hidden="1">'Мероприятия подпрограммы 1'!$A$4:$Q$107</definedName>
    <definedName name="Z_FAC3C627_8E23_41AB_B3FB_95B33614D8DB_.wvu.FilterData" localSheetId="8" hidden="1">'Мероприятия подпрограммы 1'!$A$4:$Q$107</definedName>
    <definedName name="_xlnm.Print_Titles" localSheetId="10">'!!!Мероприятия подпрограммы 2'!$3:$4</definedName>
    <definedName name="_xlnm.Print_Titles" localSheetId="12">'!!!Мероприятия подпрограммы 3'!$3:$4</definedName>
    <definedName name="_xlnm.Print_Titles" localSheetId="14">'!!!Мероприятия подпрограммы 4'!$3:$4</definedName>
    <definedName name="_xlnm.Print_Titles" localSheetId="6">'Гос.задания'!$3:$4</definedName>
    <definedName name="_xlnm.Print_Titles" localSheetId="1">'Долгосрочные показатели '!$3:$4</definedName>
    <definedName name="_xlnm.Print_Titles" localSheetId="2">'КАИП '!$3:$5</definedName>
    <definedName name="_xlnm.Print_Titles" localSheetId="8">'Мероприятия подпрограммы 1'!$3:$4</definedName>
    <definedName name="_xlnm.Print_Titles" localSheetId="0">'Показатели'!$3:$5</definedName>
    <definedName name="_xlnm.Print_Titles" localSheetId="7">'Показатели подпрограммы 1'!$3:$5</definedName>
    <definedName name="_xlnm.Print_Titles" localSheetId="9">'Показатели подпрограммы 2'!$3:$5</definedName>
    <definedName name="_xlnm.Print_Titles" localSheetId="11">'Показатели подпрограммы 3'!$3:$5</definedName>
    <definedName name="_xlnm.Print_Titles" localSheetId="3">'Распределение расходов'!$3:$4</definedName>
    <definedName name="_xlnm.Print_Titles" localSheetId="5">'Ресурсное обеспечение'!$3:$4</definedName>
    <definedName name="_xlnm.Print_Area" localSheetId="10">'!!!Мероприятия подпрограммы 2'!$A$1:$N$38</definedName>
    <definedName name="_xlnm.Print_Area" localSheetId="12">'!!!Мероприятия подпрограммы 3'!$A$1:$N$45</definedName>
    <definedName name="_xlnm.Print_Area" localSheetId="14">'!!!Мероприятия подпрограммы 4'!$A$1:$N$19</definedName>
    <definedName name="_xlnm.Print_Area" localSheetId="6">'Гос.задания'!$A$1:$O$19</definedName>
    <definedName name="_xlnm.Print_Area" localSheetId="1">'Долгосрочные показатели '!$A$1:$S$9</definedName>
    <definedName name="_xlnm.Print_Area" localSheetId="2">'КАИП '!$A$1:$I$19</definedName>
    <definedName name="_xlnm.Print_Area" localSheetId="8">'Мероприятия подпрограммы 1'!$A$1:$N$118</definedName>
    <definedName name="_xlnm.Print_Area" localSheetId="0">'Показатели'!$A$1:$L$51</definedName>
    <definedName name="_xlnm.Print_Area" localSheetId="9">'Показатели подпрограммы 2'!$A$1:$L$9</definedName>
    <definedName name="_xlnm.Print_Area" localSheetId="11">'Показатели подпрограммы 3'!$A$1:$K$12</definedName>
    <definedName name="_xlnm.Print_Area" localSheetId="13">'Показатели подпрограммы 4'!$A$1:$J$11</definedName>
    <definedName name="_xlnm.Print_Area" localSheetId="3">'Распределение расходов'!$A$1:$M$29</definedName>
    <definedName name="_xlnm.Print_Area" localSheetId="5">'Ресурсное обеспечение'!$A$1:$I$40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14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comments11.xml><?xml version="1.0" encoding="utf-8"?>
<comments xmlns="http://schemas.openxmlformats.org/spreadsheetml/2006/main">
  <authors>
    <author>slotina</author>
  </authors>
  <commentList>
    <comment ref="B12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часть УМЦ</t>
        </r>
      </text>
    </comment>
  </commentList>
</comments>
</file>

<file path=xl/comments8.xml><?xml version="1.0" encoding="utf-8"?>
<comments xmlns="http://schemas.openxmlformats.org/spreadsheetml/2006/main">
  <authors>
    <author>slotina</author>
  </authors>
  <commentList>
    <comment ref="B8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<sst xmlns="http://schemas.openxmlformats.org/spreadsheetml/2006/main" count="1331" uniqueCount="563">
  <si>
    <t>Задача 2.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</si>
  <si>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Подпрограмма 2 «Развитие кадрового потенциала отрасли»</t>
  </si>
  <si>
    <t>Задача 3.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</si>
  <si>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3 «Господдержка детей сирот, расширение практики применения семейных форм воспитания»</t>
  </si>
  <si>
    <t>3.1.3</t>
  </si>
  <si>
    <t>3.1.4</t>
  </si>
  <si>
    <t>Подпрограмма 4 «Обеспечение реализации муниципальной программы и прочие мероприятия в области образования»</t>
  </si>
  <si>
    <t>Задача 4. Создание условий для эффективного управления отраслью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</si>
  <si>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Большеулуйского района (с учетом групп кратковременного пребывания)</t>
  </si>
  <si>
    <t xml:space="preserve">Отношение среднего балла ЕГЭ (в расчете на 1 предмет) в 10 % школ Большеулуйского района   с лучшими результатами ЕГЭ к среднему баллу ЕГЭ (в расчете на 1 предмет) в 10 % школ Большеулуйского района с худшими результатами ЕГЭ
</t>
  </si>
  <si>
    <t>Муниципальная программа</t>
  </si>
  <si>
    <t>«Развитие образования 
Большеулуйского района на 2014-2016 годы»</t>
  </si>
  <si>
    <t>Муниципальная  программа</t>
  </si>
  <si>
    <t>«Развитие образования Большеулуйского района 
на 2014-2016 годы»</t>
  </si>
  <si>
    <t>Наименование муниципальной программы, подпрограммы   муниципальной программы</t>
  </si>
  <si>
    <t>«Развитие дошкольного и общего образования детей»</t>
  </si>
  <si>
    <t>«Обеспечение реализации муниципальной программы и прочие мероприятия»</t>
  </si>
  <si>
    <t>Подпрограмма 1. «Развитие дошкольного и общего  образования детей»</t>
  </si>
  <si>
    <t>Цель: создание в системе дошкольного и общего  образования равных возможностей для современного качественного образования, позитивной социализации детей, оздоровления детей в летний период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</si>
  <si>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муниципальныхобразовательных организаций, реализующих программы общего образования 
</t>
  </si>
  <si>
    <t>Удельный вес общеобразовательных организаций,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 муниципальных организаций общего образования, расположенных на территории Большеулуйского района</t>
  </si>
  <si>
    <t xml:space="preserve">отдел образования администрации Большеулуйского района 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</si>
  <si>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Большеулуйского района
</t>
  </si>
  <si>
    <t>детский сад в с.Большой Улуй на 95 мест</t>
  </si>
  <si>
    <t>Перечень объектов капитального строительства муниципальной  собственности Большеулуйского района
 (за счет всех источников финансирования)</t>
  </si>
  <si>
    <t>«Развитие дошкольного и общего  образования детей»</t>
  </si>
  <si>
    <t xml:space="preserve">Осуществление ежегодно выплат 1 муниципальному образовательному учреждениею, успешно  реализующему  школьную программу по работе с одаренными детьми </t>
  </si>
  <si>
    <t>Стипендия победителю районного конкурса "Ученик года"</t>
  </si>
  <si>
    <t>Ежегодно стипендию получит победитель конкурса</t>
  </si>
  <si>
    <t xml:space="preserve">Ежегодно будут награждены ценными подарками победители (не менее 12 чел.) и призёры (не менее 70 человек) муниципального этапа Всероссийской олимпиады школьников. 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</si>
  <si>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</t>
  </si>
  <si>
    <t>Ежегодно, на августовском педагогическом совете, 3 учителя, набравшие наибольшее количество баллов,  по результатм краевого рейтинга получат денежное вознаграждение или ценный подарок</t>
  </si>
  <si>
    <t xml:space="preserve">Денежные  премии учителям, набравшим  наибольшее количество баллов,  по результатм краевого рейтинга </t>
  </si>
  <si>
    <t xml:space="preserve">Вознаграждение общеобразовательного учреждения за  реализацию школьной программы по работе с одаренными детьми  </t>
  </si>
  <si>
    <t>Проведение конкурсов, конференций по научно-исследовательской и проектной направленности для учащихся Большеулуйского района</t>
  </si>
  <si>
    <t>Реализация образовательных программ оздоровления, отдыха, занятости детей и подростков</t>
  </si>
  <si>
    <t>Организация подвоза детей и подростков к местам отдыха, оздоровления, занятости, местам проведения культурно-массовых мероприятий</t>
  </si>
  <si>
    <t>Организация однодневных и многодневных туристических походв и сплавов</t>
  </si>
  <si>
    <t xml:space="preserve">Проведение ежегодного конкурса летних оздоровительных программ, реализуемых в летних оздоровительных лагерях при образовательных учреждениях </t>
  </si>
  <si>
    <t>Определены лучшие образовательные программы, реализуемые в летних оздоровительных лагерях при общеобразовательных учреждениях (не менее 3 программ ежегодно)</t>
  </si>
  <si>
    <t>Обеспечена деятельность районного туристического передвижного палаточного лагеря с охватом не менее 20 детей и подроствок ежегодно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</si>
  <si>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t>
  </si>
  <si>
    <t>Отдел образования администрации Большеулуйского района</t>
  </si>
  <si>
    <t>Награждение юбиляров в возрасте 50,55,60,65 и т.д.лет. Награждение педагогов-стажистов, которые отработали в системе образования 25, 30. 35. 40, 45 лет. Награждение лучших учителей за высокие показатели по результатам учебного года не менее 35 человек.</t>
  </si>
  <si>
    <t>Ежегодно 3 специалистам будет производиться оплата за  аренду жилья. Ежегодно сумма подъёмных будет определена по количеству прибывших молодых педагогов.</t>
  </si>
  <si>
    <t>Задача №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30 лет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</si>
  <si>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</t>
  </si>
  <si>
    <t>Еегодно будут созданы и работать 12 РМО, 1 районный методический совет.  Проведено не менее 2-х семинаров с привлечением сотрудников ИПК</t>
  </si>
  <si>
    <t>Ежегодно учащиеся из 11 общеобразовательных учреждений и 6 ДОУ примут участие в районных фестивалях, творческих конкурсах, спортивных соревнованиях общей численностью не менее 900 чел. Ежегодно не менее 2-х учреждений примут участие в краевых конкурсах на условиях софинансирования.</t>
  </si>
  <si>
    <t>Доля базовых образовательных учреждений (обеспечивающих совместное обучение инвалидов и лиц, не имеющих нарушений)  в общем количестве образовательных учреждений, реализующих программы общего образования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</si>
  <si>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</si>
  <si>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</si>
  <si>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</si>
  <si>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</si>
  <si>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</si>
  <si>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</si>
  <si>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</si>
  <si>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</si>
  <si>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</si>
  <si>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</si>
  <si>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Итого по задаче 3</t>
  </si>
  <si>
    <t>№ п/п</t>
  </si>
  <si>
    <t>Всего</t>
  </si>
  <si>
    <t>федеральный бюджет</t>
  </si>
  <si>
    <t>краевой бюджет</t>
  </si>
  <si>
    <t>в том числе: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</si>
  <si>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</si>
  <si>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</si>
  <si>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Вес показателя результативности</t>
  </si>
  <si>
    <t>8.15</t>
  </si>
  <si>
    <t>8.16</t>
  </si>
  <si>
    <t>8.19</t>
  </si>
  <si>
    <t>8.20</t>
  </si>
  <si>
    <t>8.21</t>
  </si>
  <si>
    <t>Выплата поощрения лучшим учителям общеобразовательных учреждений</t>
  </si>
  <si>
    <t xml:space="preserve">Цели, задачи, мероприятия </t>
  </si>
  <si>
    <t>Доля оздоровленных детей школьного возраста</t>
  </si>
  <si>
    <t xml:space="preserve">Остаток стоимости строительства в ценах  контракта </t>
  </si>
  <si>
    <t>Итого по задаче 4</t>
  </si>
  <si>
    <t xml:space="preserve">Цели, задачи, показатели результатов </t>
  </si>
  <si>
    <r>
      <t>Приложение № 2
к муниципальной программе 
«Развитие образования Большеулуйского района»</t>
    </r>
    <r>
      <rPr>
        <sz val="12"/>
        <color indexed="10"/>
        <rFont val="Times New Roman"/>
        <family val="1"/>
      </rPr>
      <t xml:space="preserve"> </t>
    </r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</si>
  <si>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</si>
  <si>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</si>
  <si>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</si>
  <si>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</si>
  <si>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</si>
  <si>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</si>
  <si>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</si>
  <si>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</si>
  <si>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</si>
  <si>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</si>
  <si>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</si>
  <si>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</si>
  <si>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</si>
  <si>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</si>
  <si>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</si>
  <si>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</si>
  <si>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</si>
  <si>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</si>
  <si>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</si>
  <si>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8.17</t>
  </si>
  <si>
    <t>8.18</t>
  </si>
  <si>
    <t>Объем капитальных вложений, тыс. рублей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</si>
  <si>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</si>
  <si>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</si>
  <si>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 xml:space="preserve">Предоставление молодым, в возрасте до 35 лет, учителям государственных и муниципальных образовательных учреждений единовременной социальной выплаты на оплату первоначального взноса при привлечении  ипотечного кредита (займа) на приобретение или строительства жилого помещения  на территории Красноярского края </t>
  </si>
  <si>
    <t>Источник информации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</si>
  <si>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</si>
  <si>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</si>
  <si>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</si>
  <si>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</si>
  <si>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112</t>
  </si>
  <si>
    <t>121</t>
  </si>
  <si>
    <t>122</t>
  </si>
  <si>
    <t>149</t>
  </si>
  <si>
    <t>611</t>
  </si>
  <si>
    <t>Субсидия на частичное финансирование (возмещение) расходов на краевые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муниципальному образованиюв рамках подпрограммы "Развитие дошкольного,общего образования детей"муниципальной программы "Развитие образования Большеулуйского района"</t>
  </si>
  <si>
    <t>Субсидия на частичное финансирование (возмещение) расходов на краевые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муниципальному образования</t>
  </si>
  <si>
    <t>1.2.5</t>
  </si>
  <si>
    <t>Организация проведения военно-полевых сборов в общеобразовательных учреждениях</t>
  </si>
  <si>
    <t>0220006</t>
  </si>
  <si>
    <t>0220025</t>
  </si>
  <si>
    <t>Приобретение одежды, обуви для детей, находящихся на социальных койках в КГБУЗ "Большеулуйская РБ"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</si>
  <si>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</si>
  <si>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</si>
  <si>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</si>
  <si>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</si>
  <si>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</si>
  <si>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</si>
  <si>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Софинансирование ФЦПРО</t>
  </si>
  <si>
    <t>Формирование общероссийского кадрового ресурса ведущих консультантов  по вопросам развития системы образования</t>
  </si>
  <si>
    <t>Распространение на всей территории Красноярского края моделей образовательных систем, обеспечивающих современное качество общего образования</t>
  </si>
  <si>
    <t>Создание основанной на информационно-коммуникационных технологиях системы управления качеством образования, обеспечивающей доступ к образовательным услугам и сервисам</t>
  </si>
  <si>
    <t>Повышение квалификации педагогических и управленческих кадров для реализации ФГОС общего образования</t>
  </si>
  <si>
    <t>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</t>
  </si>
  <si>
    <t>Создание условий для распространения моделей государственно-общественного управления образованием</t>
  </si>
  <si>
    <t>Обучение и повышение квалификации педагогических и управленческих работников системы образования по вопросам государственно-общественного управления образованием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</si>
  <si>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</si>
  <si>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все из бюджета ИПК + ФБ</t>
  </si>
  <si>
    <t>2023 год</t>
  </si>
  <si>
    <t>Статус</t>
  </si>
  <si>
    <t>юридические лица</t>
  </si>
  <si>
    <t>Оценка расходов 
(тыс. руб.), годы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</si>
  <si>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</si>
  <si>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</si>
  <si>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</si>
  <si>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</si>
  <si>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</si>
  <si>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</si>
  <si>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</si>
  <si>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</si>
  <si>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</si>
  <si>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</si>
  <si>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</si>
  <si>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</si>
  <si>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</si>
  <si>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</si>
  <si>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</si>
  <si>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</si>
  <si>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</si>
  <si>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</si>
  <si>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</si>
  <si>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</si>
  <si>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>«Развитие кадрового потенциала отрасли»</t>
  </si>
  <si>
    <t>1.4.9</t>
  </si>
  <si>
    <t>0227558</t>
  </si>
  <si>
    <t>0227561</t>
  </si>
  <si>
    <t>0227557</t>
  </si>
  <si>
    <t>0220021</t>
  </si>
  <si>
    <t>0227789</t>
  </si>
  <si>
    <t>Предоставление, доставка и пересылка  мер социальной поддержки родителям (законным представителям – опекунам, приемным родителям), совместно проживающим с детьми в возрасте от 1,5 до 3 лет,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учреждений, посредством предоставления ежемесячных компенсационных выплат (в соответствии с проектом государственной программы «Развитие образования Красноярского края на 2014-2016 годы»)</t>
  </si>
  <si>
    <t xml:space="preserve">Удельный вес семей с детьми, получающих меры социальной поддержки, в общей численности семей с детьми, имеющих на них право
</t>
  </si>
  <si>
    <t>3.2.3</t>
  </si>
  <si>
    <t>Субвенция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займа за счет средств краевого бюджета</t>
  </si>
  <si>
    <t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за счет средств краевого бюджета</t>
  </si>
  <si>
    <t xml:space="preserve">Субвенции бюджетам муниципальных образований на 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 </t>
  </si>
  <si>
    <t>831</t>
  </si>
  <si>
    <t>0221022</t>
  </si>
  <si>
    <t>0220026</t>
  </si>
  <si>
    <t>0225059</t>
  </si>
  <si>
    <t>администрация Большеулуйского района</t>
  </si>
  <si>
    <t>0227746</t>
  </si>
  <si>
    <t>323</t>
  </si>
  <si>
    <t>1.1.10.</t>
  </si>
  <si>
    <t>1.2.1</t>
  </si>
  <si>
    <t>1.2.6</t>
  </si>
  <si>
    <t>324</t>
  </si>
  <si>
    <t>2017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</si>
  <si>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учреждений, которым необходимам данная помощь </t>
  </si>
  <si>
    <t>25 младших воспитателей получат краевые выплаты</t>
  </si>
  <si>
    <t>Награждение  лучших учителей за высокие показатели  в учебно-воспитательном процессе и внедрение иновационных технологий в обучении школьников. Награждение юбиляров в возрасте 50,55,60,65 и т.д.лет. Награждение педагогов-стажистов, которые отработали в системе образования 25, 30. 35. 40, 45 лет.</t>
  </si>
  <si>
    <t>4/115</t>
  </si>
  <si>
    <t>3/50</t>
  </si>
  <si>
    <t>Ежегодно оказана материальная помощь   50 матерям при рождении ребенка</t>
  </si>
  <si>
    <t xml:space="preserve">Число детей в возрасте от 1,5 до 3 лет, которым не предоставлено место в дошкольной образовательной организации родители ( опекуны, приемные родители) которых имеют право на получение ежемесячной денежной выплаты и ежемесячной компенсации                                                                                                                в 2014г. - 150 человек                                                                                                </t>
  </si>
  <si>
    <t>Субсидии бюджетам муниципальных образований края на частичное финансирование (возмещение) расходов на повышение минимальных размеров окладов, ставок заработной платы работников бюджетной сферы края, которым предоставляется региональная выплата, с 1 октября 2014 года на 10 процентов</t>
  </si>
  <si>
    <t>Софинансирование субсидии на осуществление расходов, направленных на создание безопасных и комфортных условий функционирования объектов муниципальной собственности развитие муниципальных учреждений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</si>
  <si>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«Содействие созданию безопасных и комфортных для населения условий функционирования объектов муниципальной собственности»</t>
  </si>
  <si>
    <t>Оснащение рабочего места для трудоустройства инвалида</t>
  </si>
  <si>
    <t>Министерство образования и науки Красноярского края</t>
  </si>
  <si>
    <t>07 01</t>
  </si>
  <si>
    <t>075</t>
  </si>
  <si>
    <t>10 03</t>
  </si>
  <si>
    <t>07 02</t>
  </si>
  <si>
    <t>07 05</t>
  </si>
  <si>
    <t>244</t>
  </si>
  <si>
    <t>07 07</t>
  </si>
  <si>
    <t>111</t>
  </si>
  <si>
    <t>07 09</t>
  </si>
  <si>
    <t>612</t>
  </si>
  <si>
    <t>Ожидаемый результат от реализации подпрограммного мероприятия 
(в натуральном выражении)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</si>
  <si>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</si>
  <si>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Цель: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</si>
  <si>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балл</t>
  </si>
  <si>
    <t>2.1.1</t>
  </si>
  <si>
    <t>2.2.1</t>
  </si>
  <si>
    <t>2.2.2</t>
  </si>
  <si>
    <t>2.2.3</t>
  </si>
  <si>
    <t>3.1.1</t>
  </si>
  <si>
    <t>3.1.2</t>
  </si>
  <si>
    <t>4.1.1</t>
  </si>
  <si>
    <t>Расходы на введение дополнительных мест в системе дошкольного образования детей</t>
  </si>
  <si>
    <t xml:space="preserve">Обеспечение функционирования муниципальных дошкольных образовательных учреждений </t>
  </si>
  <si>
    <t xml:space="preserve">Финансирование (возмещение) расходов на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</si>
  <si>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</si>
  <si>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</si>
  <si>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</si>
  <si>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Обеспечение деятельности (оказание услуг) муниципальных общеобразовательных учреждений</t>
  </si>
  <si>
    <t xml:space="preserve"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</si>
  <si>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</si>
  <si>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321</t>
  </si>
  <si>
    <t>0220016</t>
  </si>
  <si>
    <t>0220017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</si>
  <si>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</si>
  <si>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</si>
  <si>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0227582</t>
  </si>
  <si>
    <t>Приложение №3 к Постановлению Администрации Большеулуйского района от 20.04.2016 № 74 - п
Приложение №2 к муниципальной программе 
«Развитие образования Большеулуйского района»</t>
  </si>
  <si>
    <t xml:space="preserve">Приложение №2 к Постановлению Администрации Большеулуйского района  от 20.04.2016 № 74 - п Приложение № 1
к муниципальной программе 
«Развитие образования 
Большеулулйского района»  </t>
  </si>
  <si>
    <t>Приложение № 4 к Постановлению Администрации Большеулуйского района   от 20.04.2016 № 74 - п                                                  
Приложение № 3 к муниципальной программе 
«Развитие образования Большеулуйского района»</t>
  </si>
  <si>
    <t>Приложение № 5  к Постановлению Администрации Большеулуйского района  от 20.04.2016 № 74 - п                                                                                                                                       Приложение № 1
к подпрограмме 1 «Развитие дошкольного и общего образования детей»</t>
  </si>
  <si>
    <t>Приложение № 1 к Постановлению Администрации Большеулуйского района от 20.04.2016 № 74 - п                                                                                                                                     Приложение № 1 к Паспорту  муниципальной программы «Развитие образования Большеулуйского района»</t>
  </si>
  <si>
    <t>Приложение № 2 к Постановлению Администрации Большеулуйского района от 20.04.2016 № 74 - п 
Приложение № 2 к паспорту мунииципальной программы программы 
«Развитие образования Большеулуйского района»</t>
  </si>
  <si>
    <t>Приложение № 8  к Постановлению Администрации Большеулуйского района    от 20.04.2016 № 74 - п                                                                                                                                                 Приложение 1 к подпрограмме 2 «Развитие кадрового потенциала отрасли»</t>
  </si>
  <si>
    <t xml:space="preserve">Приложение № 7 к Постановлению Администрации Большеулуйского района    от 20.04.2016 № 74 - п                                              Приложение 2
к  подпрограмме 2 «Развитие кадрового потенциала отрасли» </t>
  </si>
  <si>
    <t>Приложение № 8  к Постановлению Администрации Большеулуйского района   от 20.04.2016 № 74 - п                                                   Приложение 1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</si>
  <si>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>Приложение № 9  к Постановлению Администрации Большеулуйского района   от20.04.2016 № 74 - п                                                   Приложение 2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</si>
  <si>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 xml:space="preserve">Приложение № 12  к Постановлению Администрации Большеулуйского района    от 20.04.2016 № 74 - п                                             Приложение 1 
к подпрограмме 4 «Обеспечение реализации муниципальной программы и прочие мероприятия в области образования» </t>
  </si>
  <si>
    <t>Рот</t>
  </si>
  <si>
    <t xml:space="preserve">Приложение № 10 к Постановлению Администрации Большеулуйского района  от 20.04.2016 № 74 - п                                               Приложение 2 
к подпрограмме 4 «Обеспечение реализации муниципальной программы и прочие мероприятия в области образования» </t>
  </si>
  <si>
    <t>Субсидии бюджетам муниципальных образований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</si>
  <si>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</t>
  </si>
  <si>
    <t>0230001</t>
  </si>
  <si>
    <t>0230002</t>
  </si>
  <si>
    <t>0230003</t>
  </si>
  <si>
    <t>0240001</t>
  </si>
  <si>
    <t>0240002</t>
  </si>
  <si>
    <t>0240003</t>
  </si>
  <si>
    <t>0240004</t>
  </si>
  <si>
    <t>0240005</t>
  </si>
  <si>
    <t>0240007</t>
  </si>
  <si>
    <t>0240008</t>
  </si>
  <si>
    <t>0240009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</si>
  <si>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</si>
  <si>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852</t>
  </si>
  <si>
    <t>4.2.2.</t>
  </si>
  <si>
    <t>4.2.3</t>
  </si>
  <si>
    <t>211</t>
  </si>
  <si>
    <t xml:space="preserve">        внебюджетные источники</t>
  </si>
  <si>
    <t xml:space="preserve">      внебюджетные источники</t>
  </si>
  <si>
    <t>0220004</t>
  </si>
  <si>
    <t>0220009</t>
  </si>
  <si>
    <t>0220010</t>
  </si>
  <si>
    <t>0220011</t>
  </si>
  <si>
    <t>0220012</t>
  </si>
  <si>
    <t>412</t>
  </si>
  <si>
    <t>10 04</t>
  </si>
  <si>
    <t>3.2.2</t>
  </si>
  <si>
    <t>0247587</t>
  </si>
  <si>
    <t>Итого по задаче 5</t>
  </si>
  <si>
    <t>Приобретено одно жилое помещение для одного человека из числа детей-сирот или детей оставшихся без попечения родителей или лиц к ним приравненных</t>
  </si>
  <si>
    <t>Задача 5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</si>
  <si>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3.5.1</t>
  </si>
  <si>
    <t>1.1.2.</t>
  </si>
  <si>
    <t>1.1.3.</t>
  </si>
  <si>
    <t>1.1.4.</t>
  </si>
  <si>
    <t>1.1.6.</t>
  </si>
  <si>
    <t>1.1.7.</t>
  </si>
  <si>
    <t>1.1.8.</t>
  </si>
  <si>
    <t>1.2.4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</si>
  <si>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 молодые специалисты, специалисты приехавшие в район из иных муниципалитетов). Подъёмные молодым специалистам.</t>
  </si>
  <si>
    <t>Статус (муниципальная программа, подпрограмма)</t>
  </si>
  <si>
    <t>Информация о распределении планируемых расходов по отдельным мероприятиям программ, подпрограммам муниципальной программы</t>
  </si>
  <si>
    <t>0234281</t>
  </si>
  <si>
    <t>0234282</t>
  </si>
  <si>
    <t>0234283</t>
  </si>
  <si>
    <t>0234284</t>
  </si>
  <si>
    <t>0234285</t>
  </si>
  <si>
    <t>0234286</t>
  </si>
  <si>
    <t>0234287</t>
  </si>
  <si>
    <t>По годам до ввода объекта</t>
  </si>
  <si>
    <t>Доля детей с ограниченными возможностями здоровья и детей-инвалидов, получающих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</si>
  <si>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</si>
  <si>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</si>
  <si>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</si>
  <si>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внебюджетные источники</t>
  </si>
  <si>
    <t>Информация о планируемых объемах бюджетных ассигнований, 
направленных на реализацию научной, научно-технической и инновационной деятельности</t>
  </si>
  <si>
    <t>Цели, задачи, мероприятия</t>
  </si>
  <si>
    <t>Оценка эффекта от реализации мероприятий</t>
  </si>
  <si>
    <t>Ответственный исполнитель, соисполнители</t>
  </si>
  <si>
    <t>Значение показателя объема услуги (работы)</t>
  </si>
  <si>
    <t>Наименование услуги, показателя объема услуги (работы)</t>
  </si>
  <si>
    <t>Перечень целевых индикаторов подпрограммы</t>
  </si>
  <si>
    <t>Цель, целевые индикаторы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</si>
  <si>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</si>
  <si>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</si>
  <si>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</si>
  <si>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3.3.1</t>
  </si>
  <si>
    <t>3.3.2</t>
  </si>
  <si>
    <t>«Обеспечение реализации государственной программы и прочие мероприятия»</t>
  </si>
  <si>
    <t>4.2.1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</si>
  <si>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</si>
  <si>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</si>
  <si>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№ 3. Обеспечить поддержку лучших педагогических работников</t>
  </si>
  <si>
    <t>360</t>
  </si>
  <si>
    <t>0235088</t>
  </si>
  <si>
    <t>0230458</t>
  </si>
  <si>
    <t>Ожидаются федеральные средства</t>
  </si>
  <si>
    <t>19,08 поменяли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</si>
  <si>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</si>
  <si>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доставка в одной строке</t>
  </si>
  <si>
    <t>доставка вошла в выплаты</t>
  </si>
  <si>
    <t xml:space="preserve">Обеспечить безопасный, качественный отдых и оздоровление детей в летний период 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</si>
  <si>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</si>
  <si>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Содействовать выявлению и поддержке одаренных детей</t>
  </si>
  <si>
    <t>Задача № 2. Обеспечить функционирование системы подготовки, переподготовки и повышения квалификации педагогических кадров и ее модернизацию</t>
  </si>
  <si>
    <t>Цель: создание условий для эффективного управления отраслью</t>
  </si>
  <si>
    <t>113</t>
  </si>
  <si>
    <t xml:space="preserve">Компенсация части родительской платы за содержание ребенка в государственных, муниципальных, негосударственных учреждениях, реализующих основную общеобразовательную программу дошкольного образования </t>
  </si>
  <si>
    <t>Ежегодно не менее 120 детей будут принимать участие в меропиятиях научно-исследовательской и проектной деятельности</t>
  </si>
  <si>
    <t xml:space="preserve">Отдел образования Администрации Большеулуйского района </t>
  </si>
  <si>
    <t>Проведение конкурсов, фестивалей, соревнований с целью выявления одарённых и талантливых детей Большеулуйского района.   Софинансирование за  участие в краевых  конкурсах по условиям Положений. Оплата страховых взносов за участников спортивных и культурно-массовых мероприятий</t>
  </si>
  <si>
    <t xml:space="preserve"> Возмещение  части родительской платы за   путевки в загородные оздоровительные лагеря для детей, одаренных в области культуры и искуства</t>
  </si>
  <si>
    <t>Возмещена  часть родительской платы за 11 путевок в загородные оздоровительные лагеря  для детей одаренных в области культуры и искуства</t>
  </si>
  <si>
    <t>будет оказана консультативная психолого-педагогическая помощь педагогам и учащимся из 12 школ и 6 ДОУ в соответствии с запросами</t>
  </si>
  <si>
    <t>Реализация образовательных программ оздоровления, отдыха и занятости детей и подростков с охватом не менее 697 детей и подростков ежегодно</t>
  </si>
  <si>
    <t>Обеспечен подвоз детей и подростков к местам отдыха, оздоровления, занятости, местам проведения культурно-массовых мероприятий (не менее 40 поездок ежегодно, не менее 697 детей задействовано в поездках)</t>
  </si>
  <si>
    <t>Обеспечена деятельность однодневных и многодневных туристических походов и сплавов с охватом не менее 125 детей ежегодно</t>
  </si>
  <si>
    <t>Организация деятельности районного туристического передвижного палаточного лагеря в пределах Большеулуйского района или за его пределами</t>
  </si>
  <si>
    <t xml:space="preserve">Задача № 4. Обеспечить безопасный, качественный отдых и оздоровление детей в летний период </t>
  </si>
  <si>
    <t>Реализация  программ  специальных (коррекционных) образовательных учреждений VIII вида (для умственно отсталых обучающихся)</t>
  </si>
  <si>
    <t>Реализация основных общеобразовательных программ дошкольного образования</t>
  </si>
  <si>
    <t>Показатель объема: число воспитанников</t>
  </si>
  <si>
    <t>Расходы  на оказание (выполнение) муниципальной услуги (работы), тыс. руб.</t>
  </si>
  <si>
    <t>344</t>
  </si>
  <si>
    <t>1.1.1</t>
  </si>
  <si>
    <t>1.1.5.</t>
  </si>
  <si>
    <t>1.2.2</t>
  </si>
  <si>
    <t>1.2.3</t>
  </si>
  <si>
    <t>1.3.1.</t>
  </si>
  <si>
    <t>1.3.2</t>
  </si>
  <si>
    <t>1.3.3</t>
  </si>
  <si>
    <t>1.3.4</t>
  </si>
  <si>
    <t>1.3.5</t>
  </si>
  <si>
    <t>1.3.6</t>
  </si>
  <si>
    <t>1.4.1.</t>
  </si>
  <si>
    <t>1.4.2.</t>
  </si>
  <si>
    <t>1.4.3.</t>
  </si>
  <si>
    <t>1.4.4</t>
  </si>
  <si>
    <t>1.4.5</t>
  </si>
  <si>
    <t>1.4.6</t>
  </si>
  <si>
    <t>1.4.7</t>
  </si>
  <si>
    <t>1.4.8</t>
  </si>
  <si>
    <r>
      <rPr>
        <i/>
        <sz val="12"/>
        <rFont val="Times New Roman"/>
        <family val="1"/>
      </rPr>
      <t>Показатель объема услуги:</t>
    </r>
    <r>
      <rPr>
        <sz val="12"/>
        <rFont val="Times New Roman"/>
        <family val="1"/>
      </rPr>
      <t xml:space="preserve"> количество человек, которым предоставлено специальное (коррекционное) образование (чел.)</t>
    </r>
  </si>
  <si>
    <r>
      <rPr>
        <i/>
        <sz val="12"/>
        <rFont val="Times New Roman"/>
        <family val="1"/>
      </rPr>
      <t xml:space="preserve">Показатель объема услуги: </t>
    </r>
    <r>
      <rPr>
        <sz val="12"/>
        <rFont val="Times New Roman"/>
        <family val="1"/>
      </rPr>
      <t>количество человек, которым предоставлено начальное общее образование</t>
    </r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</si>
  <si>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основное общее образование</t>
    </r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</si>
  <si>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среднее общее образование</t>
    </r>
  </si>
  <si>
    <r>
      <rPr>
        <i/>
        <sz val="12"/>
        <rFont val="Times New Roman"/>
        <family val="1"/>
      </rPr>
      <t>Показатель объема услуги:</t>
    </r>
    <r>
      <rPr>
        <sz val="12"/>
        <rFont val="Times New Roman"/>
        <family val="1"/>
      </rPr>
      <t xml:space="preserve"> количество человек, которым предоставлено среднее (полное) общее образование, заочная форма обучения, срок реализации 3 года</t>
    </r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</si>
  <si>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
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</si>
  <si>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вдетском доме</t>
  </si>
  <si>
    <t>Количество детей-сирот, детей, оставшихся без попечения родителей, которым оказана помощь при оплате услуг БТИ за справки, акты, заключения</t>
  </si>
  <si>
    <t>ведомственная отчетность</t>
  </si>
  <si>
    <t>Количество проведенных мероприятий и участников мероприятий для детей-сирот, детей, оставшихся без попечения родителей</t>
  </si>
  <si>
    <t>шт/чел</t>
  </si>
  <si>
    <t>Количество несовершеннолетних детей, которым оказана материальная помощь в рамках проведения акции "Помоги пойти учиться"</t>
  </si>
  <si>
    <t xml:space="preserve"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несовершеннолетним детям,  находящимся в социально-опасном положении,  одиноким матерям,  матерям из малообеспеченных, многодетных семей. </t>
  </si>
  <si>
    <t>Реализация основной общеобразовательной программы начального общего образования</t>
  </si>
  <si>
    <t>Реализация основной общеобразовательной программы основного общего образования</t>
  </si>
  <si>
    <t>Реализация основной общеобразовательной программы среднего общего образования</t>
  </si>
  <si>
    <t>Реализация основной общеобразовательной программы среднего общего образования (заочная форма обучения срок реализации 3 года)</t>
  </si>
  <si>
    <t>«Господдержка детей сирот, расширение практики применения семейных форм воспитания, защита прав несовершеннолених детей»»</t>
  </si>
  <si>
    <t>Медицинское сопровождение детей в загородные лагеря, проведения спортивных соревнований</t>
  </si>
  <si>
    <t>Обеспечено медицинское сопровождение в период подвоза детей и подростков к местам отдыха и оздоровления (не менее 40 чел. в загородные оздоровительные лагеря), организовано медицинское сопровождение  в год не менее 10 спортивных соревнований среди школьников</t>
  </si>
  <si>
    <t>Оснащено 1 рабочее место для трудоустройства инвалида</t>
  </si>
  <si>
    <t>1,82</t>
  </si>
  <si>
    <t>1.1.2</t>
  </si>
  <si>
    <t>1.1.3</t>
  </si>
  <si>
    <t>1.1.4</t>
  </si>
  <si>
    <t>1.2.7</t>
  </si>
  <si>
    <t>1.2.8</t>
  </si>
  <si>
    <t>1.2.9</t>
  </si>
  <si>
    <t>1.2.10</t>
  </si>
  <si>
    <t>1.4.1</t>
  </si>
  <si>
    <t>1.3.1</t>
  </si>
  <si>
    <t>4.1.1.</t>
  </si>
  <si>
    <t>4.1.2.</t>
  </si>
  <si>
    <t>4.1.3.</t>
  </si>
  <si>
    <t>4.1.4.</t>
  </si>
  <si>
    <t>4.1.5.</t>
  </si>
  <si>
    <t>1.2.11</t>
  </si>
  <si>
    <t>3.2.</t>
  </si>
  <si>
    <t>3.1.3.</t>
  </si>
  <si>
    <t>3.1.4.</t>
  </si>
  <si>
    <t>3.1.5.</t>
  </si>
  <si>
    <t>3.1.6.</t>
  </si>
  <si>
    <t>0227777</t>
  </si>
  <si>
    <t>Кредиторская задолженность за 2014 год</t>
  </si>
  <si>
    <t>1.3.7</t>
  </si>
  <si>
    <t xml:space="preserve">Софинансирование расходов на оплату 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родительской платы </t>
  </si>
  <si>
    <t>0220029</t>
  </si>
  <si>
    <t>0257777</t>
  </si>
  <si>
    <t>0227560</t>
  </si>
  <si>
    <t>1.1.9.</t>
  </si>
  <si>
    <t>1.1.11.</t>
  </si>
  <si>
    <t xml:space="preserve">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</si>
  <si>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1.1.12.</t>
  </si>
  <si>
    <t xml:space="preserve">Софинансирование субсидии бюджетам муниципальных образований на введение дополнительных мест в системе дошкольного образования детей посредством строительства, реконструкции и капитального ремонта зданий муниципальных образовательных организаций, приобретения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</t>
  </si>
  <si>
    <t>244, 612</t>
  </si>
  <si>
    <t>2018</t>
  </si>
  <si>
    <t xml:space="preserve">Приложение № 3
к паспорту муниципальной программы 
«Развитие образования 
Большеулуйского района» </t>
  </si>
  <si>
    <t>Отдел  социальной защиты населения Администрации Большеулуйского района</t>
  </si>
  <si>
    <t>Информация о распределении планируемых расходов по ГРБС</t>
  </si>
  <si>
    <t>Информация о ресурсном обеспечении расходов 
с учетом источников финансирования</t>
  </si>
  <si>
    <t>0220000010</t>
  </si>
  <si>
    <t>0220077770</t>
  </si>
  <si>
    <t>0220000020</t>
  </si>
  <si>
    <t>0220010210</t>
  </si>
  <si>
    <t>0220010220</t>
  </si>
  <si>
    <t>0220075880</t>
  </si>
  <si>
    <t>0220075540</t>
  </si>
  <si>
    <t>0220075560</t>
  </si>
  <si>
    <t>0220000030</t>
  </si>
  <si>
    <t>0220000050</t>
  </si>
  <si>
    <t>0220000190</t>
  </si>
  <si>
    <t>0220075830</t>
  </si>
  <si>
    <t>0220000200</t>
  </si>
  <si>
    <t>0220000240</t>
  </si>
  <si>
    <t>0220000270</t>
  </si>
  <si>
    <t>0220000280</t>
  </si>
  <si>
    <t>0220000150</t>
  </si>
  <si>
    <t>0220000140</t>
  </si>
  <si>
    <t>0220000130</t>
  </si>
  <si>
    <t>0220000080</t>
  </si>
  <si>
    <t>0220000070</t>
  </si>
  <si>
    <t>0220000300</t>
  </si>
  <si>
    <t>Софинансирование субсидии на проведение мероприятий по формированию сети общеобразовательных организаций, в которых созданы условия для инклюзивного образования детей-инвалидов в рамках подпрограммы "Развитие дошкольного, общего образования детей" государственной программы Красноярского края "Развитие образования"</t>
  </si>
  <si>
    <t>1.1.13.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</si>
  <si>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</si>
  <si>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0220031</t>
  </si>
  <si>
    <t>Мероприятия государственной программы Российской Федерации "Доступная среда" на 2011-2015 годы за счёт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</si>
  <si>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0225027</t>
  </si>
  <si>
    <t>611, 612</t>
  </si>
  <si>
    <t xml:space="preserve">07 01 </t>
  </si>
  <si>
    <t>0220074080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</si>
  <si>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</si>
  <si>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0220074090</t>
  </si>
  <si>
    <t xml:space="preserve">07 02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</si>
  <si>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</si>
  <si>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0220075660</t>
  </si>
  <si>
    <t>0240000060</t>
  </si>
  <si>
    <t>0240075520</t>
  </si>
  <si>
    <t>0240050820</t>
  </si>
  <si>
    <t>02400R0820</t>
  </si>
  <si>
    <t>0250000990</t>
  </si>
  <si>
    <t>0250010210</t>
  </si>
  <si>
    <t>0250000010</t>
  </si>
  <si>
    <t xml:space="preserve">Прсмотр и уход </t>
  </si>
  <si>
    <r>
      <rPr>
        <i/>
        <sz val="12"/>
        <rFont val="Times New Roman"/>
        <family val="1"/>
      </rPr>
      <t>Показатель объема услуги</t>
    </r>
    <r>
      <rPr>
        <sz val="12"/>
        <rFont val="Times New Roman"/>
        <family val="1"/>
      </rPr>
      <t>: количество человек, которым предоставлено дополнительное образование</t>
    </r>
  </si>
  <si>
    <t>Реализация дополнительных общеобразовательных общеразвивающих программ</t>
  </si>
  <si>
    <t>2018год</t>
  </si>
  <si>
    <t xml:space="preserve">Отношение среднего балла ЕГЭ (в расчете на 1 предмет) в 10 % школах Большеулуйского района с лучшими результатами ЕГЭ к среднему баллу ЕГЭ (в расчете на 1 предмет) в 10 % школ Большеулуйского района с худшими результатами ЕГЭ
</t>
  </si>
  <si>
    <t>0</t>
  </si>
  <si>
    <t>Количество человек, получающих услуги общего образования: 2014 год - 820 чел.; 2015 год - 806 чел.; 2016 - 853 чел., 2017 год - 866 чел.. 2018 год - 866</t>
  </si>
  <si>
    <t>В 2014 году получат горячие завтраки обучающиеся с 7 до 11 лет - 213 чел, с 11 до 18 лет - 174 чел., горячие обеды обучающиеся с 7 до 11 лет - 40 чел., с 11 до 18 лет - 31 чел. В 2015 году получат горяиче завтраки обучающиеся с 7 до 11 лет - 229 чел., с 11 до 18 лет - 193 чел., горяие обеды обучающиеся с 7 до 11 лет - 49 чел., с 11 до 18 лет - 31 чел. В 2016 году получат горячие завтраки обучающиеся с 7 до 11 лет - 252 чел., с 11 до 18 лет - 206 чел., горячие обеды обучающиеся с 7 до 11 лет - 40 чел., с 11 до 18 лет - 37 чел. В 2017 году получат горячие завтраки обучающиеся с 7 до 11 лет - 252 чел., с 11 до 18 лет - 206 чел., горячие обеды обучающиеся с 7 до 11 лет - 40 чел., с 11 до 18 лет - 37 чел. В 2018 году получат горячие завтраки обучающиеся с 7 до 11 лет - 252 чел., с 11 до 18 лет - 206 чел., горячие обеды обучающиеся с 7 до 11 лет - 40 чел., с 11 до 18 лет - 37 чел</t>
  </si>
  <si>
    <t>Организовано горячее питание   десятиклассников в рамках проведения обязательных военно-полевых сборов в общеобразовательных учреждениях среднего общего образования  в 2015 году - 20 чел., 2016 году - 20 чел. , 2017 году - 20 чел. 2018 - 30 чел.</t>
  </si>
  <si>
    <t>Созданы безопасные и комфортные условия в 1 общеобразовательном учреждении (устранены предписания надзорных органов) ежегодно</t>
  </si>
  <si>
    <t>обеспечены путёвками в загородные оздоровительные лагеря 40 детей и подростков в 2014,  40 - в 2015 году, 35 чел.  - в 2016 году , 35  - в 2017 году, 35 в 2018 году</t>
  </si>
  <si>
    <t xml:space="preserve">Количество  семей,  получающих  выплату  на  первого  ребенка
2014г.- 144
2015г.-210                                                                                       
2016 г.-215                                                                                                                                  2017 г - 215                                                                                                                 2018  г.  - 215
Количество  семей,  получающих  выплату  на  второго ребенка
2014г.- 118
2015г.-172
2016 г.-172                                                                                                                                                     2017 г. - 172                                                                                                                 2018 г. - 172
</t>
  </si>
  <si>
    <t>Приобретено специальное оборудование в 1 учреждение для создания доступной среды для обучения детей с ограниченными возможностями здоровья.</t>
  </si>
  <si>
    <t xml:space="preserve">Выделены денежные средства на осуществление присмотра и ухода за детьми-инвалидами,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2014г- 2чел.; 2015г-2чел.; 2016г.-2 чел., 2017 г.- 2 чел. 2018 г.-2 чел.                                                                                                                   детьми-сиротами и детьми, оставшимися без попечения родителей, а также детьми с туберкулезной интоксикацией 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2014г- 3чел.; 2015г-3чел.; 2016г.-4 чел., 2017 -4 чел.2018 г.-4 чел.   </t>
  </si>
  <si>
    <t>Доля выпускников муниципальных общеобразовательных организаций, не сдавших единый государственный экзамен по обязательным предметам, в общей численности выпускников муниципальных общеобразовательных организаций</t>
  </si>
  <si>
    <r>
      <t>Введен в действие 1 ДОУ в с.Боль</t>
    </r>
    <r>
      <rPr>
        <sz val="11"/>
        <rFont val="Times New Roman"/>
        <family val="1"/>
      </rPr>
      <t xml:space="preserve">шой Улуй на 95 мест.                                                                         Количество  дополнительных мест для  детей  в возрасте  от 3 до  7лет  в  дошкольных образовательных  учреждениях и  группах полного дня  при общеобразовательных  учреждениях
2014г.-30
2015г.- 35,                                                                                                      2016 - 95.
</t>
    </r>
  </si>
  <si>
    <t>0220075640</t>
  </si>
  <si>
    <t xml:space="preserve">Прогноз сводных показателей муниципальных заданий </t>
  </si>
  <si>
    <t>Приложение № 1  к Постановлению Администрации Большеулуйского района  от 20.04.2016 № 74 - п                                                                                                                                        Приложение № 2
к подпрограмме 1 «Развитие дошкольного и общего образования детей»</t>
  </si>
  <si>
    <t>Задача № 1. Создать условия, отвечающие современным требованиям для воспитания детей-сирот и детей, оставшихся без попечения родителей, проживающих в детском доме, замещающих семьях и обеспечить реализацию мероприятий, направленных на развитие в Большеулуйском районе семейных форм воспитания детей-сирот и детей, оставшихся без попечения родителей</t>
  </si>
  <si>
    <t>Проведение мероприятий, позволяющих детям-сиротам, детям, оставшимся без попечения родителей проявить себя</t>
  </si>
  <si>
    <t>Ежегодно проведено 5 мероприятий, в которых приняло участие 106 детей.Ежегодно изготовлено 300 экземпляров печатной продукции для детей</t>
  </si>
  <si>
    <t>Изготовление печатной продукции для детей-сирот и детей, оставшихся без попечения родителей для постинтернатного сопровождения</t>
  </si>
  <si>
    <t xml:space="preserve"> Ежегодно приобретена одежда, обувь для 5 детей</t>
  </si>
  <si>
    <t>Обеспечение проведения  мероприятий для многодетных семей,  в том числе для опекаемых семей</t>
  </si>
  <si>
    <t>Ежегодно проведено 4 мероприятия, в которых приняло участие 250 человек</t>
  </si>
  <si>
    <t>3.1.5</t>
  </si>
  <si>
    <t>Оплата стоимости справок, заключений, актов БТИ для защиты  жилищных прав детей-сирот, детей, оставшихся без попечения родителей и лиц из их числа</t>
  </si>
  <si>
    <t>Ежегодно оплачены услуги БТИ по оплате за справки, акты, заключения для 50 детей-сирот, детей, оставшихся без попечения родителей</t>
  </si>
  <si>
    <t>Задача № 2.</t>
  </si>
  <si>
    <t xml:space="preserve">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</si>
  <si>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Задача № 3  Обеспечить реализацию мероприятий, направленных на развитие в Красноярском крае семейных форм воспитания детей-сирот и детей, оставшихся без попечения родителей</t>
  </si>
  <si>
    <t>Обеспечить поддержку  одиноким матерям, матерям  из малообеспеченных, многодетных  семей;</t>
  </si>
  <si>
    <t>Задача № 4. Обеспечить защиту прав несовершеннолетних детей, находящихся в социально-опасном положении</t>
  </si>
  <si>
    <t>3.4.1</t>
  </si>
  <si>
    <t>Приобретение канцелярских товаров, одежды, обуви учащимся в возрасте до восемнадцати лет, находящимся в социально-опасном положении в ходе проведения районной акции "Помоги пойти учиться"</t>
  </si>
  <si>
    <t>Ежегодно оказана материальная помощь 50 детям, находящимся в социально-опасном положении при подготовке к учебной деятельности</t>
  </si>
  <si>
    <t>3.4.2</t>
  </si>
  <si>
    <t>Изготовление печатной продукции для родителей с разъяснением их обязанностей по воспитанию, содержанию, обучению, защите прав детей, профилактике жестокого обращения с детьми</t>
  </si>
  <si>
    <t>Обеспечить защиту прав несовершеннолетних детей, находящихся в социально-опасном положении печатной продукции для родителей</t>
  </si>
  <si>
    <t>3.4.3</t>
  </si>
  <si>
    <t>Проведение мероприятий с несовершеннолетними, находящимися в социально-опасном положении с целью социализации в общественную жизнь района</t>
  </si>
  <si>
    <t>Ежегодно проведено 4 мероприятия для детей</t>
  </si>
  <si>
    <t>«Господдержка детей сирот, расширение практики применения семейных форм воспитания, защита прав несовершеннолетних детей»</t>
  </si>
  <si>
    <t xml:space="preserve">муниципальный бюджет </t>
  </si>
  <si>
    <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(отдел образования Администрации Большеулуйского района)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</si>
  <si>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(отдел  образования Администрации Большеулуйского района)</t>
    </r>
  </si>
  <si>
    <r>
      <t xml:space="preserve">Своевременность  утверждения муниципальных  заданий руководством  Главного распорядителя средств районного бюджета, в ведении которого находятся муниципальные бюджетные  учреждения, на текущий финансовый год и плановый период </t>
    </r>
    <r>
      <rPr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</si>
  <si>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
</t>
    </r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</si>
  <si>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федерального, краевого и муниципального бюджетов</t>
  </si>
  <si>
    <t xml:space="preserve">Обеспечение реализации образовательных программ для различных категорий детей  (ежегодно в 10 общеобразовательных  учреждениях) 
</t>
  </si>
  <si>
    <t>2.1.1.</t>
  </si>
  <si>
    <t>2.3.1</t>
  </si>
  <si>
    <t>Администрация Большеулуйского  района</t>
  </si>
  <si>
    <t>муниципальный бюджет</t>
  </si>
  <si>
    <t>Главный распорядитель: Администрация Большеулуйского района</t>
  </si>
  <si>
    <t>Отдел образования Администрации Большеулуйского района</t>
  </si>
  <si>
    <t xml:space="preserve">Организация питания участников государственной (итоговой) аттестации выпускников </t>
  </si>
  <si>
    <t>Обеспечение птанием участников государственной (итоговой) аттестации выпускников (100% учащихся, участвующих в сдаче ГИА, ЕГЭ)</t>
  </si>
  <si>
    <t>137</t>
  </si>
  <si>
    <t>3.2.1</t>
  </si>
  <si>
    <t>МУ "Централизованная бухгалтерия"</t>
  </si>
  <si>
    <t>Администрация Большеулуйского района</t>
  </si>
  <si>
    <t>Своевременность утверждения планов финансово-хозяйственной деятельности руководством Главного распорядителя средств районного бюджета, в ведении которого находятся муниципальные бюджетные учреждения, на текущий финансовый год и плановый период в соответствии со  сроками, утвержденными органами исполнительной власти Большеулуйского района, осуществляющими функции и полномочия учредителя</t>
  </si>
  <si>
    <t>Задача 1 Организация деятельности отдела образования, обеспечивающего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</si>
  <si>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</si>
  <si>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отдел образования Администрации Большеулуйского района</t>
  </si>
  <si>
    <t>Повышение эффективности управления отраслью и использования муниципального 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</si>
  <si>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Обеспечение предоставления услуг в сфере образования</t>
  </si>
  <si>
    <t>Повышения эффективности и качества предоставления услуг на 1 балл</t>
  </si>
  <si>
    <t xml:space="preserve">Обеспечение деятельности (оказание услуг) ПМПК </t>
  </si>
  <si>
    <t xml:space="preserve">Задача 2 Обеспечение методического сопровождения введения федеральных государственных образовательных стандартов дошкольного, начального, основного и среднего общего образования. </t>
  </si>
  <si>
    <t>Задача № 3. Содействовать выявлению и поддержке одаренных детей</t>
  </si>
  <si>
    <t>Задача № 4. Обеспечить безопасный, качественный отдых и оздоровление детей</t>
  </si>
  <si>
    <t>Цель: создать условия для эффективного управления отраслью</t>
  </si>
  <si>
    <t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государственная поддержка детей-сирот, детей, оставшихся без попечения родителей, отдых и оздоровление детей в летний период</t>
  </si>
  <si>
    <t xml:space="preserve"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
</t>
  </si>
  <si>
    <t>Задача 1. Создание в системе дошкольного и общего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</si>
  <si>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Подпрограмма 1 «Развитие дошкольного и общего  образования детей» </t>
  </si>
  <si>
    <t>Удельный вес воспитанников дошкольных образовательных организаций, расположенных на территории Большеулуйского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Большеулуйского района</t>
  </si>
  <si>
    <t xml:space="preserve"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организаций (не менее чем в 80 % дошкольных организаций)
</t>
  </si>
  <si>
    <t>Обеспечить доступность общего образования, соответствующего федеральному государственному стандарту общего образования</t>
  </si>
  <si>
    <t xml:space="preserve">Доля муниципальныхобразовательных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</si>
  <si>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>отдел  социальной защиты населения Администрации Большеулуйского района</t>
  </si>
  <si>
    <t>Количество   матерей имеющих постоянную регистрацию на территории Большеулуйского района, которым оказана материальная помощь при рождении ребенка в виде комплекта для новорожденного, либо денежной выплаты в виде 3000-00 рублей</t>
  </si>
  <si>
    <t xml:space="preserve">Оказать материальную помощь   матерям,имеющим постоянную регистрацию на территории Большеулуйского района,    при рождении ребенка в виде пакета для новорожденного, либо денежной выплаты в размере 3000-00 рублей  </t>
  </si>
  <si>
    <t>Отдел социальной защиты населения Администрации Большеулуйского района</t>
  </si>
  <si>
    <t>Удельный вес общеобразовательных организаций района,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образования, расположенных на территории Большеулуйского района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</si>
</sst>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  <numFmt numFmtId="201" formatCode="?"/>
    <numFmt numFmtId="202" formatCode="_-* #,##0_р_._-;\-* #,##0_р_._-;_-* &quot;-&quot;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66" fontId="4" fillId="0" borderId="0" xfId="56" applyNumberFormat="1" applyFont="1" applyFill="1" applyAlignment="1">
      <alignment/>
      <protection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166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66" fontId="4" fillId="0" borderId="0" xfId="56" applyNumberFormat="1" applyFont="1" applyFill="1" applyBorder="1" applyAlignment="1">
      <alignment horizontal="center" vertical="center" wrapText="1"/>
      <protection/>
    </xf>
    <xf numFmtId="166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3" applyNumberFormat="1" applyFont="1" applyFill="1" applyBorder="1" applyAlignment="1">
      <alignment horizontal="center" vertical="center" wrapText="1"/>
      <protection/>
    </xf>
    <xf numFmtId="171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166" fontId="6" fillId="0" borderId="10" xfId="56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25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56" applyFont="1" applyFill="1" applyAlignment="1">
      <alignment vertical="top" wrapText="1"/>
      <protection/>
    </xf>
    <xf numFmtId="49" fontId="4" fillId="0" borderId="0" xfId="0" applyNumberFormat="1" applyFont="1" applyFill="1" applyAlignment="1">
      <alignment/>
    </xf>
    <xf numFmtId="0" fontId="4" fillId="17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6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/>
      <protection/>
    </xf>
    <xf numFmtId="0" fontId="4" fillId="0" borderId="10" xfId="56" applyFont="1" applyFill="1" applyBorder="1" applyAlignment="1">
      <alignment horizontal="left" vertical="top"/>
      <protection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vertical="center"/>
    </xf>
    <xf numFmtId="0" fontId="4" fillId="24" borderId="10" xfId="0" applyNumberFormat="1" applyFont="1" applyFill="1" applyBorder="1" applyAlignment="1">
      <alignment horizontal="left" vertical="center" wrapText="1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left" vertical="top" wrapText="1" indent="3"/>
    </xf>
    <xf numFmtId="43" fontId="4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/>
    </xf>
    <xf numFmtId="187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/>
    </xf>
    <xf numFmtId="0" fontId="4" fillId="0" borderId="0" xfId="53" applyFont="1" applyFill="1" applyAlignment="1">
      <alignment vertical="top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24" borderId="10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71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166" fontId="4" fillId="24" borderId="10" xfId="56" applyNumberFormat="1" applyFont="1" applyFill="1" applyBorder="1" applyAlignment="1">
      <alignment horizontal="center" vertical="center"/>
      <protection/>
    </xf>
    <xf numFmtId="187" fontId="4" fillId="0" borderId="1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87" fontId="4" fillId="0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1" fontId="4" fillId="0" borderId="12" xfId="0" applyNumberFormat="1" applyFont="1" applyFill="1" applyBorder="1" applyAlignment="1">
      <alignment horizontal="center" vertical="center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43" fontId="4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172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right" vertical="center"/>
    </xf>
    <xf numFmtId="172" fontId="4" fillId="0" borderId="13" xfId="0" applyNumberFormat="1" applyFont="1" applyFill="1" applyBorder="1" applyAlignment="1">
      <alignment horizontal="right" vertical="center"/>
    </xf>
    <xf numFmtId="2" fontId="4" fillId="0" borderId="10" xfId="56" applyNumberFormat="1" applyFont="1" applyFill="1" applyBorder="1" applyAlignment="1">
      <alignment horizontal="right" vertical="center" wrapText="1"/>
      <protection/>
    </xf>
    <xf numFmtId="2" fontId="4" fillId="0" borderId="13" xfId="56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right" vertical="center"/>
    </xf>
    <xf numFmtId="187" fontId="17" fillId="0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87" fontId="17" fillId="0" borderId="10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wrapText="1"/>
      <protection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10" xfId="53" applyFont="1" applyFill="1" applyBorder="1" applyAlignment="1">
      <alignment horizontal="center" vertical="center" wrapText="1"/>
      <protection/>
    </xf>
    <xf numFmtId="187" fontId="17" fillId="0" borderId="10" xfId="65" applyNumberFormat="1" applyFont="1" applyFill="1" applyBorder="1" applyAlignment="1">
      <alignment horizontal="center" vertical="center" wrapText="1"/>
    </xf>
    <xf numFmtId="187" fontId="17" fillId="0" borderId="10" xfId="0" applyNumberFormat="1" applyFont="1" applyFill="1" applyBorder="1" applyAlignment="1">
      <alignment/>
    </xf>
    <xf numFmtId="171" fontId="4" fillId="0" borderId="13" xfId="0" applyNumberFormat="1" applyFont="1" applyFill="1" applyBorder="1" applyAlignment="1">
      <alignment horizontal="right" vertical="center"/>
    </xf>
    <xf numFmtId="171" fontId="4" fillId="0" borderId="10" xfId="0" applyNumberFormat="1" applyFont="1" applyBorder="1" applyAlignment="1">
      <alignment/>
    </xf>
    <xf numFmtId="171" fontId="4" fillId="24" borderId="10" xfId="0" applyNumberFormat="1" applyFont="1" applyFill="1" applyBorder="1" applyAlignment="1">
      <alignment/>
    </xf>
    <xf numFmtId="0" fontId="4" fillId="0" borderId="13" xfId="5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56" applyFont="1" applyFill="1" applyAlignment="1">
      <alignment horizontal="left" vertical="top" wrapText="1"/>
      <protection/>
    </xf>
    <xf numFmtId="0" fontId="5" fillId="0" borderId="24" xfId="56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25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0" fontId="4" fillId="0" borderId="23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4" fillId="0" borderId="26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9" fontId="4" fillId="0" borderId="22" xfId="53" applyNumberFormat="1" applyFont="1" applyFill="1" applyBorder="1" applyAlignment="1">
      <alignment horizontal="left" vertical="center"/>
      <protection/>
    </xf>
    <xf numFmtId="49" fontId="4" fillId="0" borderId="23" xfId="53" applyNumberFormat="1" applyFont="1" applyFill="1" applyBorder="1" applyAlignment="1">
      <alignment horizontal="left" vertical="center"/>
      <protection/>
    </xf>
    <xf numFmtId="49" fontId="4" fillId="0" borderId="26" xfId="53" applyNumberFormat="1" applyFont="1" applyFill="1" applyBorder="1" applyAlignment="1">
      <alignment horizontal="left" vertical="center"/>
      <protection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4" fillId="0" borderId="0" xfId="53" applyFont="1" applyFill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24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25" xfId="53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horizontal="left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7" fontId="4" fillId="0" borderId="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5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4" fillId="24" borderId="15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4" borderId="19" xfId="0" applyNumberFormat="1" applyFont="1" applyFill="1" applyBorder="1" applyAlignment="1">
      <alignment horizontal="left" vertical="center" wrapText="1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15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11" fontId="9" fillId="0" borderId="11" xfId="0" applyNumberFormat="1" applyFont="1" applyFill="1" applyBorder="1" applyAlignment="1">
      <alignment horizontal="left" vertical="center" wrapText="1"/>
    </xf>
    <xf numFmtId="11" fontId="9" fillId="0" borderId="25" xfId="0" applyNumberFormat="1" applyFont="1" applyFill="1" applyBorder="1" applyAlignment="1">
      <alignment horizontal="left" vertical="center" wrapText="1"/>
    </xf>
    <xf numFmtId="11" fontId="9" fillId="0" borderId="19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9;&#1084;&#1077;&#1090;&#1072;%20&#1054;&#1054;%202014\&#1052;P_2015-2017_&#1054;&#1073;&#1088;&#1072;&#1079;&#1086;&#1074;&#1072;&#1085;&#1080;&#1077;%20_&#1080;&#1079;&#1084;&#1077;&#1085;&#1077;&#1085;&#1080;&#1103;_&#1085;&#1086;&#1103;&#1073;&#1088;&#1100;%20&#1084;&#1086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Долгосрочные показатели "/>
      <sheetName val="КАИП "/>
      <sheetName val="Распределение расходов"/>
      <sheetName val="НИД"/>
      <sheetName val="Ресурсное обеспечение"/>
      <sheetName val="Гос.задания"/>
      <sheetName val="Показатели подпрограммы 1"/>
      <sheetName val="Мероприятия подпрограммы 1"/>
      <sheetName val="Показатели подпрограммы 2"/>
      <sheetName val="Мероприятия подпрограммы 2"/>
      <sheetName val="Показатели подпрограммы 3"/>
      <sheetName val="Мероприятия подпрограммы 3"/>
      <sheetName val="Показатели подпрограммы 4"/>
      <sheetName val="Мероприятия подпрограммы 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K2"/>
    </sheetView>
  </sheetViews>
  <sheetFormatPr defaultColWidth="9.00390625" defaultRowHeight="12.75"/>
  <cols>
    <col min="1" max="1" width="7.625" style="68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0" width="11.375" style="1" customWidth="1"/>
    <col min="11" max="11" width="10.125" style="1" customWidth="1"/>
    <col min="12" max="12" width="10.75390625" style="62" customWidth="1"/>
    <col min="13" max="13" width="9.125" style="61" customWidth="1"/>
    <col min="14" max="16384" width="9.125" style="1" customWidth="1"/>
  </cols>
  <sheetData>
    <row r="1" spans="1:11" ht="65.25" customHeight="1">
      <c r="A1" s="57"/>
      <c r="B1" s="29"/>
      <c r="C1" s="47"/>
      <c r="D1" s="29"/>
      <c r="E1" s="29"/>
      <c r="G1" s="275" t="s">
        <v>240</v>
      </c>
      <c r="H1" s="275"/>
      <c r="I1" s="275"/>
      <c r="J1" s="275"/>
      <c r="K1" s="275"/>
    </row>
    <row r="2" spans="1:11" ht="37.5" customHeight="1">
      <c r="A2" s="278" t="s">
        <v>302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2" ht="25.5" customHeight="1">
      <c r="A3" s="279" t="s">
        <v>61</v>
      </c>
      <c r="B3" s="280" t="s">
        <v>79</v>
      </c>
      <c r="C3" s="280" t="s">
        <v>57</v>
      </c>
      <c r="D3" s="280" t="s">
        <v>68</v>
      </c>
      <c r="E3" s="280" t="s">
        <v>106</v>
      </c>
      <c r="F3" s="276" t="s">
        <v>88</v>
      </c>
      <c r="G3" s="276" t="s">
        <v>84</v>
      </c>
      <c r="H3" s="276" t="s">
        <v>89</v>
      </c>
      <c r="I3" s="276" t="s">
        <v>90</v>
      </c>
      <c r="J3" s="276" t="s">
        <v>91</v>
      </c>
      <c r="K3" s="276" t="s">
        <v>92</v>
      </c>
      <c r="L3" s="276" t="s">
        <v>478</v>
      </c>
    </row>
    <row r="4" spans="1:12" ht="25.5" customHeight="1">
      <c r="A4" s="279"/>
      <c r="B4" s="280"/>
      <c r="C4" s="280"/>
      <c r="D4" s="280"/>
      <c r="E4" s="280"/>
      <c r="F4" s="276"/>
      <c r="G4" s="276"/>
      <c r="H4" s="276"/>
      <c r="I4" s="276"/>
      <c r="J4" s="276"/>
      <c r="K4" s="276"/>
      <c r="L4" s="276"/>
    </row>
    <row r="5" spans="1:12" ht="25.5" customHeight="1">
      <c r="A5" s="279"/>
      <c r="B5" s="280"/>
      <c r="C5" s="280"/>
      <c r="D5" s="280"/>
      <c r="E5" s="280"/>
      <c r="F5" s="276"/>
      <c r="G5" s="276"/>
      <c r="H5" s="276"/>
      <c r="I5" s="276"/>
      <c r="J5" s="276"/>
      <c r="K5" s="276"/>
      <c r="L5" s="276"/>
    </row>
    <row r="6" spans="1:12" ht="48" customHeight="1">
      <c r="A6" s="260" t="s">
        <v>550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</row>
    <row r="7" spans="1:12" ht="47.25" customHeight="1">
      <c r="A7" s="35">
        <v>1</v>
      </c>
      <c r="B7" s="63" t="s">
        <v>313</v>
      </c>
      <c r="C7" s="14" t="s">
        <v>55</v>
      </c>
      <c r="D7" s="30" t="s">
        <v>153</v>
      </c>
      <c r="E7" s="59" t="s">
        <v>52</v>
      </c>
      <c r="F7" s="94"/>
      <c r="G7" s="135">
        <f>(49650+5442+282531+928+1675+13302+20611+2334)/(410700-970)*100</f>
        <v>91.88</v>
      </c>
      <c r="H7" s="135">
        <v>92</v>
      </c>
      <c r="I7" s="135">
        <v>92.1</v>
      </c>
      <c r="J7" s="221">
        <v>100</v>
      </c>
      <c r="K7" s="221">
        <v>100</v>
      </c>
      <c r="L7" s="14">
        <v>100</v>
      </c>
    </row>
    <row r="8" spans="1:12" ht="83.25" customHeight="1">
      <c r="A8" s="35" t="s">
        <v>314</v>
      </c>
      <c r="B8" s="63" t="s">
        <v>8</v>
      </c>
      <c r="C8" s="14" t="s">
        <v>55</v>
      </c>
      <c r="D8" s="30" t="s">
        <v>153</v>
      </c>
      <c r="E8" s="37" t="s">
        <v>53</v>
      </c>
      <c r="F8" s="60">
        <v>80</v>
      </c>
      <c r="G8" s="135">
        <v>71.26</v>
      </c>
      <c r="H8" s="135">
        <v>82.57</v>
      </c>
      <c r="I8" s="135">
        <v>100</v>
      </c>
      <c r="J8" s="135">
        <v>100</v>
      </c>
      <c r="K8" s="135">
        <v>100</v>
      </c>
      <c r="L8" s="135">
        <v>100</v>
      </c>
    </row>
    <row r="9" spans="1:12" ht="75" customHeight="1">
      <c r="A9" s="35" t="s">
        <v>107</v>
      </c>
      <c r="B9" s="136" t="s">
        <v>551</v>
      </c>
      <c r="C9" s="30" t="s">
        <v>55</v>
      </c>
      <c r="D9" s="30" t="s">
        <v>153</v>
      </c>
      <c r="E9" s="30" t="s">
        <v>53</v>
      </c>
      <c r="F9" s="30">
        <v>1.96</v>
      </c>
      <c r="G9" s="30">
        <v>1.86</v>
      </c>
      <c r="H9" s="30">
        <v>1.82</v>
      </c>
      <c r="I9" s="30">
        <v>5.23</v>
      </c>
      <c r="J9" s="30">
        <v>5.21</v>
      </c>
      <c r="K9" s="30">
        <v>5.21</v>
      </c>
      <c r="L9" s="30">
        <v>5.21</v>
      </c>
    </row>
    <row r="10" spans="1:12" ht="57.75" customHeight="1">
      <c r="A10" s="35" t="s">
        <v>315</v>
      </c>
      <c r="B10" s="63" t="s">
        <v>108</v>
      </c>
      <c r="C10" s="14" t="s">
        <v>55</v>
      </c>
      <c r="D10" s="30" t="s">
        <v>153</v>
      </c>
      <c r="E10" s="30" t="s">
        <v>53</v>
      </c>
      <c r="F10" s="40">
        <v>60.5</v>
      </c>
      <c r="G10" s="40">
        <v>18</v>
      </c>
      <c r="H10" s="40">
        <v>80.56</v>
      </c>
      <c r="I10" s="40">
        <v>80.56</v>
      </c>
      <c r="J10" s="40">
        <v>81.87</v>
      </c>
      <c r="K10" s="40">
        <v>81.87</v>
      </c>
      <c r="L10" s="40">
        <v>81.87</v>
      </c>
    </row>
    <row r="11" spans="1:12" ht="36" customHeight="1">
      <c r="A11" s="262" t="s">
        <v>552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</row>
    <row r="12" spans="1:12" ht="24" customHeight="1">
      <c r="A12" s="267" t="s">
        <v>553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</row>
    <row r="13" spans="1:12" ht="24" customHeight="1" thickBot="1">
      <c r="A13" s="249" t="s">
        <v>332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</row>
    <row r="14" spans="1:12" ht="33" customHeight="1" thickBot="1">
      <c r="A14" s="35" t="s">
        <v>354</v>
      </c>
      <c r="B14" s="63" t="s">
        <v>125</v>
      </c>
      <c r="C14" s="14" t="s">
        <v>55</v>
      </c>
      <c r="D14" s="14">
        <v>0.04</v>
      </c>
      <c r="E14" s="37" t="s">
        <v>53</v>
      </c>
      <c r="F14" s="74">
        <v>546.3</v>
      </c>
      <c r="G14" s="176">
        <v>284.5</v>
      </c>
      <c r="H14" s="177">
        <v>312.6</v>
      </c>
      <c r="I14" s="178">
        <v>449.4</v>
      </c>
      <c r="J14" s="216">
        <v>485.6</v>
      </c>
      <c r="K14" s="188">
        <v>485.6</v>
      </c>
      <c r="L14" s="216">
        <v>485.6</v>
      </c>
    </row>
    <row r="15" spans="1:12" ht="94.5">
      <c r="A15" s="81" t="s">
        <v>394</v>
      </c>
      <c r="B15" s="63" t="s">
        <v>554</v>
      </c>
      <c r="C15" s="14" t="s">
        <v>55</v>
      </c>
      <c r="D15" s="14">
        <v>0.04</v>
      </c>
      <c r="E15" s="37" t="s">
        <v>53</v>
      </c>
      <c r="F15" s="14" t="s">
        <v>51</v>
      </c>
      <c r="G15" s="14">
        <v>0</v>
      </c>
      <c r="H15" s="14">
        <v>60</v>
      </c>
      <c r="I15" s="14">
        <v>100</v>
      </c>
      <c r="J15" s="14">
        <v>100</v>
      </c>
      <c r="K15" s="217">
        <v>100</v>
      </c>
      <c r="L15" s="218">
        <v>100</v>
      </c>
    </row>
    <row r="16" spans="1:12" ht="99.75" customHeight="1">
      <c r="A16" s="81" t="s">
        <v>395</v>
      </c>
      <c r="B16" s="63" t="s">
        <v>127</v>
      </c>
      <c r="C16" s="14" t="s">
        <v>55</v>
      </c>
      <c r="D16" s="14">
        <v>0.04</v>
      </c>
      <c r="E16" s="37" t="s">
        <v>53</v>
      </c>
      <c r="F16" s="14" t="s">
        <v>51</v>
      </c>
      <c r="G16" s="14">
        <v>0</v>
      </c>
      <c r="H16" s="14">
        <v>0</v>
      </c>
      <c r="I16" s="14">
        <v>0</v>
      </c>
      <c r="J16" s="14">
        <v>0</v>
      </c>
      <c r="K16" s="218">
        <v>0</v>
      </c>
      <c r="L16" s="218">
        <v>0</v>
      </c>
    </row>
    <row r="17" spans="1:12" ht="98.25" customHeight="1">
      <c r="A17" s="81" t="s">
        <v>396</v>
      </c>
      <c r="B17" s="63" t="s">
        <v>555</v>
      </c>
      <c r="C17" s="14" t="s">
        <v>55</v>
      </c>
      <c r="D17" s="14">
        <v>0.04</v>
      </c>
      <c r="E17" s="37" t="s">
        <v>53</v>
      </c>
      <c r="F17" s="14" t="s">
        <v>51</v>
      </c>
      <c r="G17" s="14">
        <v>0</v>
      </c>
      <c r="H17" s="14">
        <v>33</v>
      </c>
      <c r="I17" s="14">
        <v>100</v>
      </c>
      <c r="J17" s="14">
        <v>100</v>
      </c>
      <c r="K17" s="218">
        <v>100</v>
      </c>
      <c r="L17" s="218">
        <v>100</v>
      </c>
    </row>
    <row r="18" spans="1:12" ht="27" customHeight="1">
      <c r="A18" s="251" t="s">
        <v>556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</row>
    <row r="19" spans="1:12" ht="82.5" customHeight="1">
      <c r="A19" s="35" t="s">
        <v>215</v>
      </c>
      <c r="B19" s="63" t="s">
        <v>557</v>
      </c>
      <c r="C19" s="30" t="s">
        <v>55</v>
      </c>
      <c r="D19" s="14">
        <v>0.04</v>
      </c>
      <c r="E19" s="37" t="s">
        <v>52</v>
      </c>
      <c r="F19" s="11">
        <v>15.6</v>
      </c>
      <c r="G19" s="11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</row>
    <row r="20" spans="1:12" ht="73.5" customHeight="1">
      <c r="A20" s="35" t="s">
        <v>216</v>
      </c>
      <c r="B20" s="63" t="s">
        <v>110</v>
      </c>
      <c r="C20" s="30" t="s">
        <v>55</v>
      </c>
      <c r="D20" s="14">
        <v>0.04</v>
      </c>
      <c r="E20" s="59" t="s">
        <v>52</v>
      </c>
      <c r="F20" s="11">
        <v>83.66</v>
      </c>
      <c r="G20" s="38">
        <v>100</v>
      </c>
      <c r="H20" s="38">
        <v>100</v>
      </c>
      <c r="I20" s="38">
        <v>100</v>
      </c>
      <c r="J20" s="38">
        <v>100</v>
      </c>
      <c r="K20" s="38">
        <v>100</v>
      </c>
      <c r="L20" s="38">
        <v>100</v>
      </c>
    </row>
    <row r="21" spans="1:12" ht="33.75" customHeight="1">
      <c r="A21" s="35" t="s">
        <v>217</v>
      </c>
      <c r="B21" s="63" t="s">
        <v>67</v>
      </c>
      <c r="C21" s="30" t="s">
        <v>55</v>
      </c>
      <c r="D21" s="14">
        <v>0.04</v>
      </c>
      <c r="E21" s="30" t="s">
        <v>53</v>
      </c>
      <c r="F21" s="38">
        <v>90</v>
      </c>
      <c r="G21" s="38">
        <v>100</v>
      </c>
      <c r="H21" s="38">
        <v>100</v>
      </c>
      <c r="I21" s="38">
        <v>100</v>
      </c>
      <c r="J21" s="38">
        <v>100</v>
      </c>
      <c r="K21" s="38">
        <v>100</v>
      </c>
      <c r="L21" s="38">
        <v>100</v>
      </c>
    </row>
    <row r="22" spans="1:13" s="65" customFormat="1" ht="69" customHeight="1">
      <c r="A22" s="35" t="s">
        <v>288</v>
      </c>
      <c r="B22" s="223" t="s">
        <v>489</v>
      </c>
      <c r="C22" s="14" t="s">
        <v>55</v>
      </c>
      <c r="D22" s="14">
        <v>0.04</v>
      </c>
      <c r="E22" s="30" t="s">
        <v>53</v>
      </c>
      <c r="F22" s="40">
        <v>2.34</v>
      </c>
      <c r="G22" s="40">
        <v>5.5</v>
      </c>
      <c r="H22" s="40">
        <v>5.4</v>
      </c>
      <c r="I22" s="40">
        <v>7.84</v>
      </c>
      <c r="J22" s="40">
        <v>1.75</v>
      </c>
      <c r="K22" s="220">
        <v>0</v>
      </c>
      <c r="L22" s="14">
        <v>0</v>
      </c>
      <c r="M22" s="64"/>
    </row>
    <row r="23" spans="1:12" ht="47.25">
      <c r="A23" s="35" t="s">
        <v>118</v>
      </c>
      <c r="B23" s="63" t="s">
        <v>41</v>
      </c>
      <c r="C23" s="30" t="s">
        <v>55</v>
      </c>
      <c r="D23" s="14">
        <v>0.04</v>
      </c>
      <c r="E23" s="59" t="s">
        <v>52</v>
      </c>
      <c r="F23" s="11">
        <v>9.78</v>
      </c>
      <c r="G23" s="11">
        <v>0</v>
      </c>
      <c r="H23" s="11">
        <v>0</v>
      </c>
      <c r="I23" s="11">
        <v>0</v>
      </c>
      <c r="J23" s="11">
        <v>0</v>
      </c>
      <c r="K23" s="180">
        <v>0</v>
      </c>
      <c r="L23" s="180">
        <v>0</v>
      </c>
    </row>
    <row r="24" spans="1:12" ht="78.75">
      <c r="A24" s="35" t="s">
        <v>185</v>
      </c>
      <c r="B24" s="63" t="s">
        <v>123</v>
      </c>
      <c r="C24" s="36" t="s">
        <v>55</v>
      </c>
      <c r="D24" s="14">
        <v>0.04</v>
      </c>
      <c r="E24" s="30" t="s">
        <v>53</v>
      </c>
      <c r="F24" s="36">
        <v>83</v>
      </c>
      <c r="G24" s="36">
        <v>59.3</v>
      </c>
      <c r="H24" s="36">
        <v>81.5</v>
      </c>
      <c r="I24" s="36">
        <v>92.6</v>
      </c>
      <c r="J24" s="36">
        <v>100</v>
      </c>
      <c r="K24" s="36">
        <v>100</v>
      </c>
      <c r="L24" s="36">
        <v>100</v>
      </c>
    </row>
    <row r="25" spans="1:12" ht="67.5" customHeight="1">
      <c r="A25" s="35" t="s">
        <v>397</v>
      </c>
      <c r="B25" s="63" t="s">
        <v>188</v>
      </c>
      <c r="C25" s="36" t="s">
        <v>55</v>
      </c>
      <c r="D25" s="14">
        <v>0.04</v>
      </c>
      <c r="E25" s="30" t="s">
        <v>53</v>
      </c>
      <c r="F25" s="30">
        <v>35</v>
      </c>
      <c r="G25" s="36">
        <v>59.3</v>
      </c>
      <c r="H25" s="36">
        <v>81.5</v>
      </c>
      <c r="I25" s="36">
        <v>92.6</v>
      </c>
      <c r="J25" s="36">
        <v>92.6</v>
      </c>
      <c r="K25" s="36">
        <v>95.3</v>
      </c>
      <c r="L25" s="36">
        <v>95.3</v>
      </c>
    </row>
    <row r="26" spans="1:12" ht="94.5">
      <c r="A26" s="35" t="s">
        <v>398</v>
      </c>
      <c r="B26" s="63" t="s">
        <v>128</v>
      </c>
      <c r="C26" s="36" t="s">
        <v>55</v>
      </c>
      <c r="D26" s="14">
        <v>0.04</v>
      </c>
      <c r="E26" s="30" t="s">
        <v>53</v>
      </c>
      <c r="F26" s="30">
        <v>45</v>
      </c>
      <c r="G26" s="30">
        <v>0</v>
      </c>
      <c r="H26" s="30">
        <v>0</v>
      </c>
      <c r="I26" s="30">
        <v>0</v>
      </c>
      <c r="J26" s="30">
        <v>7.1</v>
      </c>
      <c r="K26" s="30">
        <v>7.1</v>
      </c>
      <c r="L26" s="30">
        <v>7.1</v>
      </c>
    </row>
    <row r="27" spans="1:12" ht="63">
      <c r="A27" s="35" t="s">
        <v>399</v>
      </c>
      <c r="B27" s="63" t="s">
        <v>328</v>
      </c>
      <c r="C27" s="36" t="s">
        <v>55</v>
      </c>
      <c r="D27" s="14">
        <v>0.04</v>
      </c>
      <c r="E27" s="30" t="s">
        <v>53</v>
      </c>
      <c r="F27" s="30">
        <v>1</v>
      </c>
      <c r="G27" s="30">
        <v>36.4</v>
      </c>
      <c r="H27" s="30">
        <v>36.4</v>
      </c>
      <c r="I27" s="30">
        <v>72.7</v>
      </c>
      <c r="J27" s="224">
        <v>81.8</v>
      </c>
      <c r="K27" s="224">
        <v>81.8</v>
      </c>
      <c r="L27" s="224">
        <v>81.8</v>
      </c>
    </row>
    <row r="28" spans="1:12" ht="99.75" customHeight="1">
      <c r="A28" s="35" t="s">
        <v>400</v>
      </c>
      <c r="B28" s="136" t="s">
        <v>562</v>
      </c>
      <c r="C28" s="30" t="s">
        <v>55</v>
      </c>
      <c r="D28" s="14">
        <v>0.04</v>
      </c>
      <c r="E28" s="30" t="s">
        <v>53</v>
      </c>
      <c r="F28" s="138" t="s">
        <v>51</v>
      </c>
      <c r="G28" s="30" t="s">
        <v>51</v>
      </c>
      <c r="H28" s="30">
        <v>63.6</v>
      </c>
      <c r="I28" s="30">
        <v>100</v>
      </c>
      <c r="J28" s="30">
        <v>100</v>
      </c>
      <c r="K28" s="30">
        <v>100</v>
      </c>
      <c r="L28" s="30">
        <v>100</v>
      </c>
    </row>
    <row r="29" spans="1:12" ht="26.25" customHeight="1">
      <c r="A29" s="273" t="s">
        <v>333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4"/>
      <c r="L29" s="84"/>
    </row>
    <row r="30" spans="1:12" ht="53.25" customHeight="1">
      <c r="A30" s="58" t="s">
        <v>402</v>
      </c>
      <c r="B30" s="136" t="s">
        <v>126</v>
      </c>
      <c r="C30" s="14" t="s">
        <v>55</v>
      </c>
      <c r="D30" s="14">
        <v>0.04</v>
      </c>
      <c r="E30" s="37" t="s">
        <v>53</v>
      </c>
      <c r="F30" s="30">
        <v>78.4</v>
      </c>
      <c r="G30" s="30">
        <v>69.8</v>
      </c>
      <c r="H30" s="30">
        <v>70</v>
      </c>
      <c r="I30" s="30">
        <v>70.2</v>
      </c>
      <c r="J30" s="30">
        <v>70.4</v>
      </c>
      <c r="K30" s="30">
        <v>70.7</v>
      </c>
      <c r="L30" s="30">
        <v>70.8</v>
      </c>
    </row>
    <row r="31" spans="1:12" ht="31.5" customHeight="1">
      <c r="A31" s="258" t="s">
        <v>331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</row>
    <row r="32" spans="1:12" ht="36.75" customHeight="1">
      <c r="A32" s="41" t="s">
        <v>401</v>
      </c>
      <c r="B32" s="136" t="s">
        <v>76</v>
      </c>
      <c r="C32" s="30" t="s">
        <v>55</v>
      </c>
      <c r="D32" s="14">
        <v>0.04</v>
      </c>
      <c r="E32" s="37" t="s">
        <v>53</v>
      </c>
      <c r="F32" s="37">
        <v>82.9</v>
      </c>
      <c r="G32" s="37">
        <v>89.6</v>
      </c>
      <c r="H32" s="37">
        <v>89.6</v>
      </c>
      <c r="I32" s="37">
        <v>94.8</v>
      </c>
      <c r="J32" s="222">
        <v>75.7</v>
      </c>
      <c r="K32" s="222">
        <v>75.8</v>
      </c>
      <c r="L32" s="222">
        <v>75.9</v>
      </c>
    </row>
    <row r="33" spans="1:12" ht="22.5" customHeight="1">
      <c r="A33" s="269" t="s">
        <v>0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</row>
    <row r="34" spans="1:12" ht="23.25" customHeight="1">
      <c r="A34" s="271" t="s">
        <v>1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</row>
    <row r="35" spans="1:12" ht="51" customHeight="1">
      <c r="A35" s="35" t="s">
        <v>214</v>
      </c>
      <c r="B35" s="136" t="s">
        <v>22</v>
      </c>
      <c r="C35" s="30" t="s">
        <v>55</v>
      </c>
      <c r="D35" s="14">
        <v>0.04</v>
      </c>
      <c r="E35" s="30" t="s">
        <v>53</v>
      </c>
      <c r="F35" s="30">
        <v>15.6</v>
      </c>
      <c r="G35" s="30">
        <v>23.3</v>
      </c>
      <c r="H35" s="30">
        <v>23.3</v>
      </c>
      <c r="I35" s="30">
        <v>23.3</v>
      </c>
      <c r="J35" s="30">
        <v>23.3</v>
      </c>
      <c r="K35" s="30">
        <v>23.3</v>
      </c>
      <c r="L35" s="30">
        <v>23.3</v>
      </c>
    </row>
    <row r="36" spans="1:12" ht="39" customHeight="1">
      <c r="A36" s="273" t="s">
        <v>2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</row>
    <row r="37" spans="1:12" ht="24" customHeight="1">
      <c r="A37" s="271" t="s">
        <v>3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</row>
    <row r="38" spans="1:12" ht="81.75" customHeight="1">
      <c r="A38" s="35" t="s">
        <v>218</v>
      </c>
      <c r="B38" s="63" t="s">
        <v>109</v>
      </c>
      <c r="C38" s="36" t="s">
        <v>55</v>
      </c>
      <c r="D38" s="14">
        <v>0.04</v>
      </c>
      <c r="E38" s="37" t="s">
        <v>52</v>
      </c>
      <c r="F38" s="40">
        <v>97.09</v>
      </c>
      <c r="G38" s="40">
        <v>51.6</v>
      </c>
      <c r="H38" s="40">
        <v>66.6</v>
      </c>
      <c r="I38" s="40">
        <v>65</v>
      </c>
      <c r="J38" s="220">
        <v>20</v>
      </c>
      <c r="K38" s="220">
        <v>20</v>
      </c>
      <c r="L38" s="220">
        <v>20</v>
      </c>
    </row>
    <row r="39" spans="1:12" ht="67.5" customHeight="1">
      <c r="A39" s="35" t="s">
        <v>219</v>
      </c>
      <c r="B39" s="63" t="s">
        <v>104</v>
      </c>
      <c r="C39" s="30" t="s">
        <v>66</v>
      </c>
      <c r="D39" s="14">
        <v>0.04</v>
      </c>
      <c r="E39" s="37" t="s">
        <v>53</v>
      </c>
      <c r="F39" s="139">
        <v>243</v>
      </c>
      <c r="G39" s="139">
        <v>4</v>
      </c>
      <c r="H39" s="139">
        <v>7</v>
      </c>
      <c r="I39" s="139">
        <v>4</v>
      </c>
      <c r="J39" s="139">
        <v>1</v>
      </c>
      <c r="K39" s="139">
        <v>1</v>
      </c>
      <c r="L39" s="139">
        <v>1</v>
      </c>
    </row>
    <row r="40" spans="1:12" ht="57.75" customHeight="1">
      <c r="A40" s="35" t="s">
        <v>4</v>
      </c>
      <c r="B40" s="63" t="s">
        <v>103</v>
      </c>
      <c r="C40" s="30" t="s">
        <v>66</v>
      </c>
      <c r="D40" s="14">
        <v>0.04</v>
      </c>
      <c r="E40" s="37" t="s">
        <v>53</v>
      </c>
      <c r="F40" s="139">
        <v>134</v>
      </c>
      <c r="G40" s="139">
        <v>3</v>
      </c>
      <c r="H40" s="139">
        <v>4</v>
      </c>
      <c r="I40" s="139">
        <v>4</v>
      </c>
      <c r="J40" s="139">
        <v>1</v>
      </c>
      <c r="K40" s="139">
        <v>1</v>
      </c>
      <c r="L40" s="139">
        <v>1</v>
      </c>
    </row>
    <row r="41" spans="1:12" ht="113.25" customHeight="1">
      <c r="A41" s="35" t="s">
        <v>5</v>
      </c>
      <c r="B41" s="63" t="s">
        <v>124</v>
      </c>
      <c r="C41" s="36" t="s">
        <v>55</v>
      </c>
      <c r="D41" s="14">
        <v>0.04</v>
      </c>
      <c r="E41" s="37" t="s">
        <v>52</v>
      </c>
      <c r="F41" s="14">
        <v>8.02</v>
      </c>
      <c r="G41" s="14">
        <v>1.05</v>
      </c>
      <c r="H41" s="14">
        <v>4.9</v>
      </c>
      <c r="I41" s="14">
        <v>5.1</v>
      </c>
      <c r="J41" s="14">
        <v>1.1</v>
      </c>
      <c r="K41" s="14">
        <v>1.1</v>
      </c>
      <c r="L41" s="14">
        <v>1.1</v>
      </c>
    </row>
    <row r="42" spans="1:12" ht="27.75" customHeight="1">
      <c r="A42" s="265" t="s">
        <v>7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</row>
    <row r="43" spans="1:12" ht="33" customHeight="1">
      <c r="A43" s="267" t="s">
        <v>6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</row>
    <row r="44" spans="1:12" ht="97.5" customHeight="1">
      <c r="A44" s="35" t="s">
        <v>403</v>
      </c>
      <c r="B44" s="219" t="s">
        <v>520</v>
      </c>
      <c r="C44" s="30" t="s">
        <v>213</v>
      </c>
      <c r="D44" s="30">
        <v>0.04</v>
      </c>
      <c r="E44" s="30" t="s">
        <v>536</v>
      </c>
      <c r="F44" s="94"/>
      <c r="G44" s="30">
        <v>5</v>
      </c>
      <c r="H44" s="30">
        <v>5</v>
      </c>
      <c r="I44" s="30">
        <v>5</v>
      </c>
      <c r="J44" s="30">
        <v>5</v>
      </c>
      <c r="K44" s="30">
        <v>5</v>
      </c>
      <c r="L44" s="30">
        <v>5</v>
      </c>
    </row>
    <row r="45" spans="1:12" ht="66" customHeight="1">
      <c r="A45" s="35" t="s">
        <v>404</v>
      </c>
      <c r="B45" s="140" t="s">
        <v>521</v>
      </c>
      <c r="C45" s="30" t="s">
        <v>213</v>
      </c>
      <c r="D45" s="30">
        <v>0.03</v>
      </c>
      <c r="E45" s="30" t="s">
        <v>536</v>
      </c>
      <c r="F45" s="94"/>
      <c r="G45" s="14">
        <v>5</v>
      </c>
      <c r="H45" s="14">
        <v>5</v>
      </c>
      <c r="I45" s="14">
        <v>5</v>
      </c>
      <c r="J45" s="14">
        <v>5</v>
      </c>
      <c r="K45" s="14">
        <v>5</v>
      </c>
      <c r="L45" s="30">
        <v>5</v>
      </c>
    </row>
    <row r="46" spans="1:12" ht="112.5" customHeight="1">
      <c r="A46" s="35" t="s">
        <v>405</v>
      </c>
      <c r="B46" s="140" t="s">
        <v>522</v>
      </c>
      <c r="C46" s="30" t="s">
        <v>213</v>
      </c>
      <c r="D46" s="30">
        <v>0.03</v>
      </c>
      <c r="E46" s="30" t="s">
        <v>537</v>
      </c>
      <c r="F46" s="94"/>
      <c r="G46" s="14">
        <v>5</v>
      </c>
      <c r="H46" s="14">
        <v>5</v>
      </c>
      <c r="I46" s="14">
        <v>5</v>
      </c>
      <c r="J46" s="14">
        <v>5</v>
      </c>
      <c r="K46" s="14">
        <v>5</v>
      </c>
      <c r="L46" s="30">
        <v>5</v>
      </c>
    </row>
    <row r="47" spans="1:12" ht="99.75" customHeight="1">
      <c r="A47" s="35" t="s">
        <v>406</v>
      </c>
      <c r="B47" s="80" t="s">
        <v>538</v>
      </c>
      <c r="C47" s="30" t="s">
        <v>213</v>
      </c>
      <c r="D47" s="30">
        <v>0.03</v>
      </c>
      <c r="E47" s="30" t="s">
        <v>537</v>
      </c>
      <c r="F47" s="94"/>
      <c r="G47" s="14">
        <v>5</v>
      </c>
      <c r="H47" s="14">
        <v>5</v>
      </c>
      <c r="I47" s="14">
        <v>5</v>
      </c>
      <c r="J47" s="14">
        <v>5</v>
      </c>
      <c r="K47" s="14">
        <v>5</v>
      </c>
      <c r="L47" s="30">
        <v>5</v>
      </c>
    </row>
    <row r="48" spans="1:12" ht="66.75" customHeight="1">
      <c r="A48" s="35" t="s">
        <v>407</v>
      </c>
      <c r="B48" s="140" t="s">
        <v>523</v>
      </c>
      <c r="C48" s="30" t="s">
        <v>213</v>
      </c>
      <c r="D48" s="30">
        <v>0.03</v>
      </c>
      <c r="E48" s="30" t="s">
        <v>536</v>
      </c>
      <c r="F48" s="94"/>
      <c r="G48" s="14">
        <v>5</v>
      </c>
      <c r="H48" s="14">
        <v>5</v>
      </c>
      <c r="I48" s="14">
        <v>5</v>
      </c>
      <c r="J48" s="14">
        <v>5</v>
      </c>
      <c r="K48" s="14">
        <v>5</v>
      </c>
      <c r="L48" s="30">
        <v>5</v>
      </c>
    </row>
    <row r="49" ht="15.75">
      <c r="D49" s="101"/>
    </row>
    <row r="50" spans="1:11" ht="42" customHeight="1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</row>
    <row r="51" spans="1:11" ht="20.25" customHeight="1">
      <c r="A51" s="69"/>
      <c r="B51" s="69"/>
      <c r="C51" s="69"/>
      <c r="D51" s="69"/>
      <c r="J51" s="277"/>
      <c r="K51" s="277"/>
    </row>
  </sheetData>
  <sheetProtection/>
  <mergeCells count="29">
    <mergeCell ref="A29:K29"/>
    <mergeCell ref="F3:F5"/>
    <mergeCell ref="E3:E5"/>
    <mergeCell ref="C3:C5"/>
    <mergeCell ref="D3:D5"/>
    <mergeCell ref="G3:G5"/>
    <mergeCell ref="J3:J5"/>
    <mergeCell ref="A13:L13"/>
    <mergeCell ref="A18:L18"/>
    <mergeCell ref="J51:K51"/>
    <mergeCell ref="A2:K2"/>
    <mergeCell ref="A3:A5"/>
    <mergeCell ref="B3:B5"/>
    <mergeCell ref="A50:K50"/>
    <mergeCell ref="A31:L31"/>
    <mergeCell ref="L3:L5"/>
    <mergeCell ref="A6:L6"/>
    <mergeCell ref="A11:L11"/>
    <mergeCell ref="A12:L12"/>
    <mergeCell ref="G1:K1"/>
    <mergeCell ref="K3:K5"/>
    <mergeCell ref="H3:H5"/>
    <mergeCell ref="I3:I5"/>
    <mergeCell ref="A42:L42"/>
    <mergeCell ref="A43:L43"/>
    <mergeCell ref="A33:L33"/>
    <mergeCell ref="A34:L34"/>
    <mergeCell ref="A36:L36"/>
    <mergeCell ref="A37:L37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5" r:id="rId3"/>
  <headerFooter alignWithMargins="0">
    <oddHeader>&amp;C&amp;P</oddHeader>
  </headerFooter>
  <rowBreaks count="7" manualBreakCount="7">
    <brk id="10" max="11" man="1"/>
    <brk id="12" max="11" man="1"/>
    <brk id="19" max="11" man="1"/>
    <brk id="23" max="11" man="1"/>
    <brk id="31" max="11" man="1"/>
    <brk id="37" max="11" man="1"/>
    <brk id="43" max="1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9"/>
  <sheetViews>
    <sheetView view="pageBreakPreview" zoomScale="89" zoomScaleSheetLayoutView="89" zoomScalePageLayoutView="0" workbookViewId="0" topLeftCell="A1">
      <selection activeCell="A2" sqref="A2:I2"/>
    </sheetView>
  </sheetViews>
  <sheetFormatPr defaultColWidth="9.00390625" defaultRowHeight="12.75"/>
  <cols>
    <col min="1" max="1" width="6.25390625" style="68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6" width="10.875" style="1" customWidth="1"/>
    <col min="7" max="7" width="4.625" style="1" hidden="1" customWidth="1"/>
    <col min="8" max="11" width="11.375" style="1" customWidth="1"/>
    <col min="12" max="12" width="9.125" style="61" customWidth="1"/>
    <col min="13" max="16384" width="9.125" style="1" customWidth="1"/>
  </cols>
  <sheetData>
    <row r="1" spans="1:12" ht="72" customHeight="1">
      <c r="A1" s="57"/>
      <c r="B1" s="29"/>
      <c r="C1" s="47"/>
      <c r="D1" s="29"/>
      <c r="F1" s="275" t="s">
        <v>242</v>
      </c>
      <c r="G1" s="275"/>
      <c r="H1" s="275"/>
      <c r="I1" s="275"/>
      <c r="J1" s="275"/>
      <c r="K1" s="275"/>
      <c r="L1" s="275"/>
    </row>
    <row r="2" spans="1:11" ht="37.5" customHeight="1">
      <c r="A2" s="278" t="s">
        <v>311</v>
      </c>
      <c r="B2" s="278"/>
      <c r="C2" s="278"/>
      <c r="D2" s="278"/>
      <c r="E2" s="278"/>
      <c r="F2" s="278"/>
      <c r="G2" s="278"/>
      <c r="H2" s="278"/>
      <c r="I2" s="278"/>
      <c r="J2" s="71"/>
      <c r="K2" s="71"/>
    </row>
    <row r="3" spans="1:12" ht="25.5" customHeight="1">
      <c r="A3" s="279" t="s">
        <v>61</v>
      </c>
      <c r="B3" s="280" t="s">
        <v>312</v>
      </c>
      <c r="C3" s="280" t="s">
        <v>57</v>
      </c>
      <c r="D3" s="280" t="s">
        <v>106</v>
      </c>
      <c r="E3" s="276" t="s">
        <v>88</v>
      </c>
      <c r="F3" s="370" t="s">
        <v>84</v>
      </c>
      <c r="G3" s="371"/>
      <c r="H3" s="276" t="s">
        <v>89</v>
      </c>
      <c r="I3" s="276" t="s">
        <v>90</v>
      </c>
      <c r="J3" s="276" t="s">
        <v>91</v>
      </c>
      <c r="K3" s="276" t="s">
        <v>92</v>
      </c>
      <c r="L3" s="276" t="s">
        <v>93</v>
      </c>
    </row>
    <row r="4" spans="1:12" ht="25.5" customHeight="1">
      <c r="A4" s="279"/>
      <c r="B4" s="280"/>
      <c r="C4" s="280"/>
      <c r="D4" s="280"/>
      <c r="E4" s="276"/>
      <c r="F4" s="372"/>
      <c r="G4" s="373"/>
      <c r="H4" s="276"/>
      <c r="I4" s="276"/>
      <c r="J4" s="276"/>
      <c r="K4" s="276"/>
      <c r="L4" s="276"/>
    </row>
    <row r="5" spans="1:12" ht="25.5" customHeight="1">
      <c r="A5" s="279"/>
      <c r="B5" s="280"/>
      <c r="C5" s="280"/>
      <c r="D5" s="280"/>
      <c r="E5" s="276"/>
      <c r="F5" s="374"/>
      <c r="G5" s="375"/>
      <c r="H5" s="276"/>
      <c r="I5" s="276"/>
      <c r="J5" s="276"/>
      <c r="K5" s="276"/>
      <c r="L5" s="276"/>
    </row>
    <row r="6" spans="1:12" ht="27" customHeight="1">
      <c r="A6" s="376" t="s">
        <v>212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</row>
    <row r="7" spans="1:12" ht="53.25" customHeight="1">
      <c r="A7" s="41" t="s">
        <v>214</v>
      </c>
      <c r="B7" s="136" t="s">
        <v>22</v>
      </c>
      <c r="C7" s="30" t="s">
        <v>55</v>
      </c>
      <c r="D7" s="30" t="s">
        <v>53</v>
      </c>
      <c r="E7" s="30">
        <v>15.6</v>
      </c>
      <c r="F7" s="376">
        <v>23.3</v>
      </c>
      <c r="G7" s="378"/>
      <c r="H7" s="30">
        <v>23.3</v>
      </c>
      <c r="I7" s="30">
        <v>23.3</v>
      </c>
      <c r="J7" s="30">
        <v>23.3</v>
      </c>
      <c r="K7" s="30">
        <v>23.3</v>
      </c>
      <c r="L7" s="30">
        <v>23.3</v>
      </c>
    </row>
    <row r="8" spans="1:12" s="65" customFormat="1" ht="23.25" customHeight="1">
      <c r="A8" s="68"/>
      <c r="L8" s="64"/>
    </row>
    <row r="9" spans="1:11" ht="21.75" customHeight="1">
      <c r="A9" s="69"/>
      <c r="B9" s="69"/>
      <c r="C9" s="69"/>
      <c r="I9" s="277"/>
      <c r="J9" s="277"/>
      <c r="K9" s="62"/>
    </row>
  </sheetData>
  <sheetProtection/>
  <mergeCells count="16">
    <mergeCell ref="A6:L6"/>
    <mergeCell ref="K3:K5"/>
    <mergeCell ref="F7:G7"/>
    <mergeCell ref="I9:J9"/>
    <mergeCell ref="H3:H5"/>
    <mergeCell ref="I3:I5"/>
    <mergeCell ref="J3:J5"/>
    <mergeCell ref="F1:L1"/>
    <mergeCell ref="L3:L5"/>
    <mergeCell ref="A2:I2"/>
    <mergeCell ref="A3:A5"/>
    <mergeCell ref="B3:B5"/>
    <mergeCell ref="C3:C5"/>
    <mergeCell ref="D3:D5"/>
    <mergeCell ref="E3:E5"/>
    <mergeCell ref="F3:G5"/>
  </mergeCells>
  <printOptions/>
  <pageMargins left="0.5118110236220472" right="0.31496062992125984" top="0.5511811023622047" bottom="0.35433070866141736" header="0.31496062992125984" footer="0.31496062992125984"/>
  <pageSetup fitToHeight="5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67"/>
  <sheetViews>
    <sheetView view="pageBreakPreview" zoomScale="65" zoomScaleNormal="59" zoomScaleSheetLayoutView="65" zoomScalePageLayoutView="0" workbookViewId="0" topLeftCell="C1">
      <pane ySplit="4" topLeftCell="BM5" activePane="bottomLeft" state="frozen"/>
      <selection pane="topLeft" activeCell="A1" sqref="A1"/>
      <selection pane="bottomLeft" activeCell="A2" sqref="A2:N2"/>
    </sheetView>
  </sheetViews>
  <sheetFormatPr defaultColWidth="9.00390625" defaultRowHeight="12.75"/>
  <cols>
    <col min="1" max="1" width="8.375" style="6" customWidth="1"/>
    <col min="2" max="2" width="83.75390625" style="1" customWidth="1"/>
    <col min="3" max="3" width="21.00390625" style="7" customWidth="1"/>
    <col min="4" max="4" width="10.75390625" style="7" customWidth="1"/>
    <col min="5" max="5" width="12.125" style="7" customWidth="1"/>
    <col min="6" max="6" width="14.25390625" style="7" customWidth="1"/>
    <col min="7" max="7" width="11.875" style="7" customWidth="1"/>
    <col min="8" max="13" width="18.75390625" style="1" customWidth="1"/>
    <col min="14" max="14" width="39.875" style="1" customWidth="1"/>
    <col min="15" max="15" width="8.125" style="1" customWidth="1"/>
    <col min="16" max="16" width="25.25390625" style="1" customWidth="1"/>
    <col min="17" max="16384" width="9.125" style="1" customWidth="1"/>
  </cols>
  <sheetData>
    <row r="1" spans="1:14" s="3" customFormat="1" ht="94.5" customHeight="1">
      <c r="A1" s="2"/>
      <c r="B1" s="5"/>
      <c r="C1" s="4"/>
      <c r="D1" s="4"/>
      <c r="E1" s="4"/>
      <c r="F1" s="4"/>
      <c r="G1" s="4"/>
      <c r="H1" s="386"/>
      <c r="I1" s="386"/>
      <c r="M1" s="385" t="s">
        <v>243</v>
      </c>
      <c r="N1" s="385"/>
    </row>
    <row r="2" spans="1:14" s="3" customFormat="1" ht="41.25" customHeight="1">
      <c r="A2" s="336" t="s">
        <v>156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3" customFormat="1" ht="32.25" customHeight="1">
      <c r="A3" s="276" t="s">
        <v>61</v>
      </c>
      <c r="B3" s="276" t="s">
        <v>75</v>
      </c>
      <c r="C3" s="276" t="s">
        <v>146</v>
      </c>
      <c r="D3" s="276" t="s">
        <v>145</v>
      </c>
      <c r="E3" s="276"/>
      <c r="F3" s="276"/>
      <c r="G3" s="276"/>
      <c r="H3" s="276" t="s">
        <v>150</v>
      </c>
      <c r="I3" s="276"/>
      <c r="J3" s="276"/>
      <c r="K3" s="276"/>
      <c r="L3" s="276"/>
      <c r="M3" s="276"/>
      <c r="N3" s="276" t="s">
        <v>157</v>
      </c>
    </row>
    <row r="4" spans="1:14" s="3" customFormat="1" ht="37.5" customHeight="1">
      <c r="A4" s="276"/>
      <c r="B4" s="276"/>
      <c r="C4" s="276"/>
      <c r="D4" s="11" t="s">
        <v>146</v>
      </c>
      <c r="E4" s="11" t="s">
        <v>147</v>
      </c>
      <c r="F4" s="11" t="s">
        <v>148</v>
      </c>
      <c r="G4" s="11" t="s">
        <v>149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151</v>
      </c>
      <c r="N4" s="276"/>
    </row>
    <row r="5" spans="1:14" ht="27" customHeight="1">
      <c r="A5" s="290" t="s">
        <v>212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4" ht="42.75" customHeight="1">
      <c r="A6" s="380" t="s">
        <v>45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</row>
    <row r="7" spans="1:15" ht="37.5" customHeight="1" hidden="1">
      <c r="A7" s="86"/>
      <c r="B7" s="113"/>
      <c r="C7" s="93"/>
      <c r="D7" s="111"/>
      <c r="E7" s="111"/>
      <c r="F7" s="86"/>
      <c r="G7" s="86"/>
      <c r="H7" s="45"/>
      <c r="I7" s="45"/>
      <c r="J7" s="45"/>
      <c r="K7" s="45"/>
      <c r="L7" s="45"/>
      <c r="M7" s="45"/>
      <c r="N7" s="113"/>
      <c r="O7" s="1" t="s">
        <v>329</v>
      </c>
    </row>
    <row r="8" spans="1:14" ht="72" customHeight="1" hidden="1">
      <c r="A8" s="104" t="s">
        <v>219</v>
      </c>
      <c r="B8" s="112" t="s">
        <v>105</v>
      </c>
      <c r="C8" s="11" t="s">
        <v>199</v>
      </c>
      <c r="D8" s="86" t="s">
        <v>201</v>
      </c>
      <c r="E8" s="86" t="s">
        <v>202</v>
      </c>
      <c r="F8" s="86" t="s">
        <v>325</v>
      </c>
      <c r="G8" s="86">
        <v>313</v>
      </c>
      <c r="H8" s="45">
        <v>0</v>
      </c>
      <c r="I8" s="45">
        <v>0</v>
      </c>
      <c r="J8" s="45">
        <v>0</v>
      </c>
      <c r="K8" s="45">
        <v>0</v>
      </c>
      <c r="L8" s="45"/>
      <c r="M8" s="45">
        <f>SUM(H8:J8)</f>
        <v>0</v>
      </c>
      <c r="N8" s="85"/>
    </row>
    <row r="9" spans="1:14" ht="92.25" customHeight="1">
      <c r="A9" s="86" t="s">
        <v>526</v>
      </c>
      <c r="B9" s="134" t="s">
        <v>289</v>
      </c>
      <c r="C9" s="11" t="s">
        <v>42</v>
      </c>
      <c r="D9" s="86" t="s">
        <v>534</v>
      </c>
      <c r="E9" s="86" t="s">
        <v>208</v>
      </c>
      <c r="F9" s="86" t="s">
        <v>251</v>
      </c>
      <c r="G9" s="86" t="s">
        <v>205</v>
      </c>
      <c r="H9" s="45">
        <v>10</v>
      </c>
      <c r="I9" s="45">
        <v>40</v>
      </c>
      <c r="J9" s="45">
        <v>60</v>
      </c>
      <c r="K9" s="45">
        <v>60</v>
      </c>
      <c r="L9" s="45">
        <v>60</v>
      </c>
      <c r="M9" s="45">
        <f>SUM(H9:L9)</f>
        <v>230</v>
      </c>
      <c r="N9" s="85" t="s">
        <v>44</v>
      </c>
    </row>
    <row r="10" spans="1:14" s="89" customFormat="1" ht="27" customHeight="1">
      <c r="A10" s="379" t="s">
        <v>58</v>
      </c>
      <c r="B10" s="379"/>
      <c r="C10" s="11"/>
      <c r="D10" s="86"/>
      <c r="E10" s="86"/>
      <c r="F10" s="11"/>
      <c r="G10" s="86"/>
      <c r="H10" s="45">
        <f>SUM(H7:H9)</f>
        <v>10</v>
      </c>
      <c r="I10" s="45">
        <f>SUM(I7:I9)</f>
        <v>40</v>
      </c>
      <c r="J10" s="45">
        <f>SUM(J7:J9)</f>
        <v>60</v>
      </c>
      <c r="K10" s="45">
        <f>SUM(K7:K9)</f>
        <v>60</v>
      </c>
      <c r="L10" s="45">
        <f>SUM(L7:L9)</f>
        <v>60</v>
      </c>
      <c r="M10" s="45">
        <f>SUM(H10:L10)</f>
        <v>230</v>
      </c>
      <c r="N10" s="88"/>
    </row>
    <row r="11" spans="1:14" ht="33" customHeight="1">
      <c r="A11" s="380" t="s">
        <v>334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</row>
    <row r="12" spans="1:14" ht="102.75" customHeight="1">
      <c r="A12" s="35" t="s">
        <v>215</v>
      </c>
      <c r="B12" s="85" t="s">
        <v>46</v>
      </c>
      <c r="C12" s="11" t="s">
        <v>42</v>
      </c>
      <c r="D12" s="86" t="s">
        <v>534</v>
      </c>
      <c r="E12" s="86" t="s">
        <v>208</v>
      </c>
      <c r="F12" s="86" t="s">
        <v>252</v>
      </c>
      <c r="G12" s="86" t="s">
        <v>205</v>
      </c>
      <c r="H12" s="45">
        <v>30</v>
      </c>
      <c r="I12" s="45">
        <v>10</v>
      </c>
      <c r="J12" s="45">
        <v>30</v>
      </c>
      <c r="K12" s="45">
        <v>30</v>
      </c>
      <c r="L12" s="45">
        <v>30</v>
      </c>
      <c r="M12" s="45">
        <f>SUM(H12:L12)</f>
        <v>130</v>
      </c>
      <c r="N12" s="112" t="s">
        <v>47</v>
      </c>
    </row>
    <row r="13" spans="1:16" ht="66" customHeight="1" hidden="1">
      <c r="A13" s="105" t="s">
        <v>69</v>
      </c>
      <c r="B13" s="85" t="s">
        <v>130</v>
      </c>
      <c r="C13" s="11" t="s">
        <v>199</v>
      </c>
      <c r="D13" s="86" t="s">
        <v>201</v>
      </c>
      <c r="E13" s="86" t="s">
        <v>204</v>
      </c>
      <c r="F13" s="86" t="s">
        <v>292</v>
      </c>
      <c r="G13" s="86">
        <v>621</v>
      </c>
      <c r="H13" s="45"/>
      <c r="I13" s="45"/>
      <c r="J13" s="106"/>
      <c r="K13" s="106"/>
      <c r="L13" s="106"/>
      <c r="M13" s="45">
        <f aca="true" t="shared" si="0" ref="M13:M19">SUM(H13:J13)</f>
        <v>0</v>
      </c>
      <c r="N13" s="31"/>
      <c r="O13" s="381" t="s">
        <v>129</v>
      </c>
      <c r="P13" s="382" t="s">
        <v>138</v>
      </c>
    </row>
    <row r="14" spans="1:16" ht="68.25" customHeight="1" hidden="1">
      <c r="A14" s="105" t="s">
        <v>70</v>
      </c>
      <c r="B14" s="85" t="s">
        <v>131</v>
      </c>
      <c r="C14" s="11" t="s">
        <v>199</v>
      </c>
      <c r="D14" s="86" t="s">
        <v>201</v>
      </c>
      <c r="E14" s="86" t="s">
        <v>204</v>
      </c>
      <c r="F14" s="86" t="s">
        <v>293</v>
      </c>
      <c r="G14" s="86">
        <v>621</v>
      </c>
      <c r="H14" s="45"/>
      <c r="I14" s="45"/>
      <c r="J14" s="106"/>
      <c r="K14" s="106"/>
      <c r="L14" s="106"/>
      <c r="M14" s="45">
        <f t="shared" si="0"/>
        <v>0</v>
      </c>
      <c r="N14" s="31"/>
      <c r="O14" s="381"/>
      <c r="P14" s="382"/>
    </row>
    <row r="15" spans="1:16" ht="63" hidden="1">
      <c r="A15" s="105" t="s">
        <v>100</v>
      </c>
      <c r="B15" s="85" t="s">
        <v>132</v>
      </c>
      <c r="C15" s="11" t="s">
        <v>199</v>
      </c>
      <c r="D15" s="86" t="s">
        <v>201</v>
      </c>
      <c r="E15" s="86" t="s">
        <v>204</v>
      </c>
      <c r="F15" s="86" t="s">
        <v>294</v>
      </c>
      <c r="G15" s="86">
        <v>621</v>
      </c>
      <c r="H15" s="45"/>
      <c r="I15" s="45"/>
      <c r="J15" s="106"/>
      <c r="K15" s="106"/>
      <c r="L15" s="106"/>
      <c r="M15" s="45">
        <f t="shared" si="0"/>
        <v>0</v>
      </c>
      <c r="N15" s="31"/>
      <c r="O15" s="381"/>
      <c r="P15" s="382"/>
    </row>
    <row r="16" spans="1:16" ht="63" hidden="1">
      <c r="A16" s="105" t="s">
        <v>101</v>
      </c>
      <c r="B16" s="85" t="s">
        <v>133</v>
      </c>
      <c r="C16" s="11" t="s">
        <v>199</v>
      </c>
      <c r="D16" s="86" t="s">
        <v>201</v>
      </c>
      <c r="E16" s="86" t="s">
        <v>204</v>
      </c>
      <c r="F16" s="86" t="s">
        <v>295</v>
      </c>
      <c r="G16" s="86">
        <v>621</v>
      </c>
      <c r="H16" s="45"/>
      <c r="I16" s="45"/>
      <c r="J16" s="106"/>
      <c r="K16" s="106"/>
      <c r="L16" s="106"/>
      <c r="M16" s="45">
        <f t="shared" si="0"/>
        <v>0</v>
      </c>
      <c r="N16" s="31"/>
      <c r="O16" s="381"/>
      <c r="P16" s="382"/>
    </row>
    <row r="17" spans="1:16" ht="63" hidden="1">
      <c r="A17" s="105" t="s">
        <v>71</v>
      </c>
      <c r="B17" s="85" t="s">
        <v>134</v>
      </c>
      <c r="C17" s="11" t="s">
        <v>199</v>
      </c>
      <c r="D17" s="86" t="s">
        <v>201</v>
      </c>
      <c r="E17" s="86" t="s">
        <v>204</v>
      </c>
      <c r="F17" s="86" t="s">
        <v>296</v>
      </c>
      <c r="G17" s="86">
        <v>621</v>
      </c>
      <c r="H17" s="45"/>
      <c r="I17" s="45"/>
      <c r="J17" s="106"/>
      <c r="K17" s="106"/>
      <c r="L17" s="106"/>
      <c r="M17" s="45">
        <f t="shared" si="0"/>
        <v>0</v>
      </c>
      <c r="N17" s="31"/>
      <c r="O17" s="381"/>
      <c r="P17" s="382"/>
    </row>
    <row r="18" spans="1:16" ht="63" hidden="1">
      <c r="A18" s="105" t="s">
        <v>72</v>
      </c>
      <c r="B18" s="85" t="s">
        <v>135</v>
      </c>
      <c r="C18" s="11" t="s">
        <v>199</v>
      </c>
      <c r="D18" s="86" t="s">
        <v>201</v>
      </c>
      <c r="E18" s="86" t="s">
        <v>204</v>
      </c>
      <c r="F18" s="86" t="s">
        <v>297</v>
      </c>
      <c r="G18" s="86">
        <v>621</v>
      </c>
      <c r="H18" s="45"/>
      <c r="I18" s="45"/>
      <c r="J18" s="106"/>
      <c r="K18" s="106"/>
      <c r="L18" s="106"/>
      <c r="M18" s="45">
        <f t="shared" si="0"/>
        <v>0</v>
      </c>
      <c r="N18" s="31"/>
      <c r="O18" s="381"/>
      <c r="P18" s="382"/>
    </row>
    <row r="19" spans="1:16" ht="63" hidden="1">
      <c r="A19" s="105" t="s">
        <v>73</v>
      </c>
      <c r="B19" s="85" t="s">
        <v>136</v>
      </c>
      <c r="C19" s="11" t="s">
        <v>199</v>
      </c>
      <c r="D19" s="86" t="s">
        <v>201</v>
      </c>
      <c r="E19" s="86" t="s">
        <v>204</v>
      </c>
      <c r="F19" s="86" t="s">
        <v>298</v>
      </c>
      <c r="G19" s="86">
        <v>621</v>
      </c>
      <c r="H19" s="45"/>
      <c r="I19" s="45"/>
      <c r="J19" s="106"/>
      <c r="K19" s="106"/>
      <c r="L19" s="106"/>
      <c r="M19" s="45">
        <f t="shared" si="0"/>
        <v>0</v>
      </c>
      <c r="N19" s="31"/>
      <c r="O19" s="381"/>
      <c r="P19" s="382"/>
    </row>
    <row r="20" spans="1:16" ht="24.75" customHeight="1">
      <c r="A20" s="379" t="s">
        <v>59</v>
      </c>
      <c r="B20" s="379"/>
      <c r="C20" s="11"/>
      <c r="D20" s="86"/>
      <c r="E20" s="86"/>
      <c r="F20" s="12"/>
      <c r="G20" s="86"/>
      <c r="H20" s="45">
        <f aca="true" t="shared" si="1" ref="H20:M20">SUM(H12:H19)</f>
        <v>30</v>
      </c>
      <c r="I20" s="45">
        <f t="shared" si="1"/>
        <v>10</v>
      </c>
      <c r="J20" s="45">
        <f t="shared" si="1"/>
        <v>30</v>
      </c>
      <c r="K20" s="45">
        <f t="shared" si="1"/>
        <v>30</v>
      </c>
      <c r="L20" s="45">
        <f t="shared" si="1"/>
        <v>30</v>
      </c>
      <c r="M20" s="45">
        <f t="shared" si="1"/>
        <v>130</v>
      </c>
      <c r="N20" s="31"/>
      <c r="O20" s="164"/>
      <c r="P20" s="165"/>
    </row>
    <row r="21" spans="1:16" s="65" customFormat="1" ht="35.25" customHeight="1">
      <c r="A21" s="383" t="s">
        <v>322</v>
      </c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164"/>
      <c r="P21" s="74"/>
    </row>
    <row r="22" spans="1:14" ht="34.5" customHeight="1" hidden="1">
      <c r="A22" s="111" t="s">
        <v>316</v>
      </c>
      <c r="B22" s="114"/>
      <c r="C22" s="93"/>
      <c r="D22" s="111"/>
      <c r="E22" s="111"/>
      <c r="F22" s="111"/>
      <c r="G22" s="86">
        <v>244</v>
      </c>
      <c r="H22" s="45"/>
      <c r="I22" s="45"/>
      <c r="J22" s="45"/>
      <c r="K22" s="45"/>
      <c r="L22" s="45"/>
      <c r="M22" s="45">
        <f>SUM(H22:J22)</f>
        <v>0</v>
      </c>
      <c r="N22" s="93"/>
    </row>
    <row r="23" spans="1:15" ht="133.5" customHeight="1">
      <c r="A23" s="86" t="s">
        <v>527</v>
      </c>
      <c r="B23" s="114" t="s">
        <v>190</v>
      </c>
      <c r="C23" s="11" t="s">
        <v>42</v>
      </c>
      <c r="D23" s="86" t="s">
        <v>534</v>
      </c>
      <c r="E23" s="86" t="s">
        <v>208</v>
      </c>
      <c r="F23" s="86" t="s">
        <v>253</v>
      </c>
      <c r="G23" s="86" t="s">
        <v>205</v>
      </c>
      <c r="H23" s="45">
        <v>35.1</v>
      </c>
      <c r="I23" s="45">
        <v>40.5</v>
      </c>
      <c r="J23" s="45">
        <v>60</v>
      </c>
      <c r="K23" s="45">
        <v>60</v>
      </c>
      <c r="L23" s="45">
        <v>60</v>
      </c>
      <c r="M23" s="45">
        <f>SUM(H23:L23)</f>
        <v>255.6</v>
      </c>
      <c r="N23" s="93" t="s">
        <v>43</v>
      </c>
      <c r="O23" s="1" t="s">
        <v>329</v>
      </c>
    </row>
    <row r="24" spans="1:14" ht="54.75" customHeight="1" hidden="1">
      <c r="A24" s="340" t="s">
        <v>317</v>
      </c>
      <c r="B24" s="384" t="s">
        <v>74</v>
      </c>
      <c r="C24" s="276" t="s">
        <v>199</v>
      </c>
      <c r="D24" s="340" t="s">
        <v>201</v>
      </c>
      <c r="E24" s="340" t="s">
        <v>203</v>
      </c>
      <c r="F24" s="340" t="s">
        <v>324</v>
      </c>
      <c r="G24" s="86">
        <v>244</v>
      </c>
      <c r="H24" s="45">
        <v>0</v>
      </c>
      <c r="I24" s="45">
        <v>0</v>
      </c>
      <c r="J24" s="45">
        <v>0</v>
      </c>
      <c r="K24" s="45">
        <v>0</v>
      </c>
      <c r="L24" s="45"/>
      <c r="M24" s="45">
        <f>SUM(H24:J24)</f>
        <v>0</v>
      </c>
      <c r="N24" s="110" t="s">
        <v>326</v>
      </c>
    </row>
    <row r="25" spans="1:14" ht="26.25" customHeight="1" hidden="1">
      <c r="A25" s="340"/>
      <c r="B25" s="384"/>
      <c r="C25" s="276"/>
      <c r="D25" s="340"/>
      <c r="E25" s="340"/>
      <c r="F25" s="340"/>
      <c r="G25" s="86" t="s">
        <v>323</v>
      </c>
      <c r="H25" s="45">
        <v>0</v>
      </c>
      <c r="I25" s="45">
        <v>0</v>
      </c>
      <c r="J25" s="45">
        <v>0</v>
      </c>
      <c r="K25" s="45">
        <v>0</v>
      </c>
      <c r="L25" s="45"/>
      <c r="M25" s="45"/>
      <c r="N25" s="85"/>
    </row>
    <row r="26" spans="1:14" ht="22.5" customHeight="1">
      <c r="A26" s="348" t="s">
        <v>60</v>
      </c>
      <c r="B26" s="348"/>
      <c r="C26" s="34"/>
      <c r="D26" s="34"/>
      <c r="E26" s="34"/>
      <c r="F26" s="35"/>
      <c r="G26" s="34"/>
      <c r="H26" s="45">
        <f aca="true" t="shared" si="2" ref="H26:M26">SUM(H22:H25)</f>
        <v>35.1</v>
      </c>
      <c r="I26" s="45">
        <f t="shared" si="2"/>
        <v>40.5</v>
      </c>
      <c r="J26" s="45">
        <f t="shared" si="2"/>
        <v>60</v>
      </c>
      <c r="K26" s="45">
        <f t="shared" si="2"/>
        <v>60</v>
      </c>
      <c r="L26" s="45">
        <f t="shared" si="2"/>
        <v>60</v>
      </c>
      <c r="M26" s="45">
        <f t="shared" si="2"/>
        <v>255.6</v>
      </c>
      <c r="N26" s="31"/>
    </row>
    <row r="27" spans="1:14" ht="22.5" customHeight="1">
      <c r="A27" s="348" t="s">
        <v>158</v>
      </c>
      <c r="B27" s="348"/>
      <c r="C27" s="12"/>
      <c r="D27" s="12"/>
      <c r="E27" s="12"/>
      <c r="F27" s="86"/>
      <c r="G27" s="12"/>
      <c r="H27" s="45">
        <f aca="true" t="shared" si="3" ref="H27:M27">H10+H20+H26</f>
        <v>75.1</v>
      </c>
      <c r="I27" s="45">
        <f t="shared" si="3"/>
        <v>90.5</v>
      </c>
      <c r="J27" s="45">
        <f t="shared" si="3"/>
        <v>150</v>
      </c>
      <c r="K27" s="45">
        <f t="shared" si="3"/>
        <v>150</v>
      </c>
      <c r="L27" s="45">
        <f t="shared" si="3"/>
        <v>150</v>
      </c>
      <c r="M27" s="45">
        <f t="shared" si="3"/>
        <v>615.6</v>
      </c>
      <c r="N27" s="31"/>
    </row>
    <row r="28" spans="1:14" ht="39" customHeight="1">
      <c r="A28" s="206"/>
      <c r="B28" s="369" t="s">
        <v>431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</row>
    <row r="29" spans="1:13" ht="15.75">
      <c r="A29" s="16"/>
      <c r="B29" s="89"/>
      <c r="C29" s="367" t="s">
        <v>82</v>
      </c>
      <c r="D29" s="367"/>
      <c r="E29" s="367"/>
      <c r="F29" s="367"/>
      <c r="G29" s="367"/>
      <c r="H29" s="182"/>
      <c r="I29" s="182"/>
      <c r="J29" s="182"/>
      <c r="K29" s="182"/>
      <c r="L29" s="182"/>
      <c r="M29" s="182"/>
    </row>
    <row r="30" spans="1:13" ht="15.75">
      <c r="A30" s="16"/>
      <c r="B30" s="89"/>
      <c r="C30" s="367" t="s">
        <v>64</v>
      </c>
      <c r="D30" s="367"/>
      <c r="E30" s="367"/>
      <c r="F30" s="367"/>
      <c r="G30" s="367"/>
      <c r="H30" s="182"/>
      <c r="I30" s="182"/>
      <c r="J30" s="182"/>
      <c r="K30" s="182"/>
      <c r="L30" s="182"/>
      <c r="M30" s="182"/>
    </row>
    <row r="31" spans="1:13" ht="15.75">
      <c r="A31" s="16"/>
      <c r="B31" s="89"/>
      <c r="C31" s="367" t="s">
        <v>519</v>
      </c>
      <c r="D31" s="367"/>
      <c r="E31" s="367"/>
      <c r="F31" s="367"/>
      <c r="G31" s="367"/>
      <c r="H31" s="182">
        <f aca="true" t="shared" si="4" ref="H31:M31">H27</f>
        <v>75.1</v>
      </c>
      <c r="I31" s="182">
        <f t="shared" si="4"/>
        <v>90.5</v>
      </c>
      <c r="J31" s="182">
        <f t="shared" si="4"/>
        <v>150</v>
      </c>
      <c r="K31" s="182">
        <f t="shared" si="4"/>
        <v>150</v>
      </c>
      <c r="L31" s="182">
        <f t="shared" si="4"/>
        <v>150</v>
      </c>
      <c r="M31" s="182">
        <f t="shared" si="4"/>
        <v>615.6</v>
      </c>
    </row>
    <row r="32" spans="1:13" ht="15.75">
      <c r="A32" s="16"/>
      <c r="B32" s="89"/>
      <c r="C32" s="366" t="s">
        <v>158</v>
      </c>
      <c r="D32" s="366"/>
      <c r="E32" s="366"/>
      <c r="F32" s="366"/>
      <c r="G32" s="366"/>
      <c r="H32" s="182">
        <f aca="true" t="shared" si="5" ref="H32:M32">SUM(H29:H31)</f>
        <v>75.1</v>
      </c>
      <c r="I32" s="182">
        <f t="shared" si="5"/>
        <v>90.5</v>
      </c>
      <c r="J32" s="182">
        <f t="shared" si="5"/>
        <v>150</v>
      </c>
      <c r="K32" s="182">
        <f t="shared" si="5"/>
        <v>150</v>
      </c>
      <c r="L32" s="182">
        <f t="shared" si="5"/>
        <v>150</v>
      </c>
      <c r="M32" s="182">
        <f t="shared" si="5"/>
        <v>615.6</v>
      </c>
    </row>
    <row r="33" spans="1:13" ht="15.75">
      <c r="A33" s="16"/>
      <c r="B33" s="89"/>
      <c r="C33" s="65"/>
      <c r="D33" s="17"/>
      <c r="E33" s="17"/>
      <c r="F33" s="17"/>
      <c r="G33" s="17"/>
      <c r="H33" s="150"/>
      <c r="I33" s="150"/>
      <c r="J33" s="150"/>
      <c r="K33" s="150"/>
      <c r="L33" s="150"/>
      <c r="M33" s="150"/>
    </row>
    <row r="34" spans="1:14" ht="21.75" customHeight="1">
      <c r="A34" s="16"/>
      <c r="B34" s="368" t="s">
        <v>430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</row>
    <row r="35" spans="1:13" ht="15.75">
      <c r="A35" s="16"/>
      <c r="B35" s="89"/>
      <c r="C35" s="362" t="s">
        <v>531</v>
      </c>
      <c r="D35" s="362"/>
      <c r="E35" s="362"/>
      <c r="F35" s="362"/>
      <c r="G35" s="362"/>
      <c r="H35" s="208">
        <f aca="true" t="shared" si="6" ref="H35:M35">H27</f>
        <v>75.1</v>
      </c>
      <c r="I35" s="208">
        <f t="shared" si="6"/>
        <v>90.5</v>
      </c>
      <c r="J35" s="208">
        <f t="shared" si="6"/>
        <v>150</v>
      </c>
      <c r="K35" s="208">
        <f t="shared" si="6"/>
        <v>150</v>
      </c>
      <c r="L35" s="208">
        <f t="shared" si="6"/>
        <v>150</v>
      </c>
      <c r="M35" s="208">
        <f t="shared" si="6"/>
        <v>615.6</v>
      </c>
    </row>
    <row r="36" spans="1:13" ht="15.75">
      <c r="A36" s="16"/>
      <c r="B36" s="89"/>
      <c r="C36" s="362" t="s">
        <v>528</v>
      </c>
      <c r="D36" s="362"/>
      <c r="E36" s="362"/>
      <c r="F36" s="362"/>
      <c r="G36" s="362"/>
      <c r="H36" s="208"/>
      <c r="I36" s="208"/>
      <c r="J36" s="208"/>
      <c r="K36" s="208"/>
      <c r="L36" s="208"/>
      <c r="M36" s="208"/>
    </row>
    <row r="37" spans="1:13" ht="33" customHeight="1">
      <c r="A37" s="16"/>
      <c r="B37" s="89"/>
      <c r="C37" s="363" t="s">
        <v>429</v>
      </c>
      <c r="D37" s="364"/>
      <c r="E37" s="364"/>
      <c r="F37" s="364"/>
      <c r="G37" s="365"/>
      <c r="H37" s="209"/>
      <c r="I37" s="209"/>
      <c r="J37" s="209"/>
      <c r="K37" s="209"/>
      <c r="L37" s="209"/>
      <c r="M37" s="209"/>
    </row>
    <row r="38" spans="1:13" ht="15.75">
      <c r="A38" s="16"/>
      <c r="B38" s="89"/>
      <c r="C38" s="366" t="s">
        <v>158</v>
      </c>
      <c r="D38" s="366"/>
      <c r="E38" s="366"/>
      <c r="F38" s="366"/>
      <c r="G38" s="366"/>
      <c r="H38" s="208">
        <f aca="true" t="shared" si="7" ref="H38:M38">SUM(H35:H37)</f>
        <v>75.1</v>
      </c>
      <c r="I38" s="208">
        <f t="shared" si="7"/>
        <v>90.5</v>
      </c>
      <c r="J38" s="208">
        <f t="shared" si="7"/>
        <v>150</v>
      </c>
      <c r="K38" s="208">
        <f t="shared" si="7"/>
        <v>150</v>
      </c>
      <c r="L38" s="208">
        <f t="shared" si="7"/>
        <v>150</v>
      </c>
      <c r="M38" s="208">
        <f t="shared" si="7"/>
        <v>615.6</v>
      </c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</sheetData>
  <sheetProtection/>
  <mergeCells count="35">
    <mergeCell ref="A5:N5"/>
    <mergeCell ref="A6:N6"/>
    <mergeCell ref="C38:G38"/>
    <mergeCell ref="C31:G31"/>
    <mergeCell ref="C32:G32"/>
    <mergeCell ref="B34:N34"/>
    <mergeCell ref="C35:G35"/>
    <mergeCell ref="C36:G36"/>
    <mergeCell ref="C37:G37"/>
    <mergeCell ref="F24:F25"/>
    <mergeCell ref="H3:M3"/>
    <mergeCell ref="M1:N1"/>
    <mergeCell ref="H1:I1"/>
    <mergeCell ref="A3:A4"/>
    <mergeCell ref="B3:B4"/>
    <mergeCell ref="C3:C4"/>
    <mergeCell ref="D3:G3"/>
    <mergeCell ref="A2:N2"/>
    <mergeCell ref="N3:N4"/>
    <mergeCell ref="D24:D25"/>
    <mergeCell ref="E24:E25"/>
    <mergeCell ref="C24:C25"/>
    <mergeCell ref="P13:P19"/>
    <mergeCell ref="A21:N21"/>
    <mergeCell ref="B24:B25"/>
    <mergeCell ref="A10:B10"/>
    <mergeCell ref="A11:N11"/>
    <mergeCell ref="O13:O19"/>
    <mergeCell ref="C30:G30"/>
    <mergeCell ref="A20:B20"/>
    <mergeCell ref="A24:A25"/>
    <mergeCell ref="A26:B26"/>
    <mergeCell ref="A27:B27"/>
    <mergeCell ref="B28:N28"/>
    <mergeCell ref="C29:G29"/>
  </mergeCells>
  <printOptions/>
  <pageMargins left="0.5118110236220472" right="0.5118110236220472" top="0.5511811023622047" bottom="0.35433070866141736" header="0.31496062992125984" footer="0.31496062992125984"/>
  <pageSetup fitToHeight="3" fitToWidth="1" horizontalDpi="600" verticalDpi="600" orientation="landscape" paperSize="9" scale="44" r:id="rId3"/>
  <headerFooter alignWithMargins="0">
    <oddHeader>&amp;C&amp;P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L13"/>
  <sheetViews>
    <sheetView view="pageBreakPreview" zoomScale="86" zoomScaleSheetLayoutView="86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H2"/>
    </sheetView>
  </sheetViews>
  <sheetFormatPr defaultColWidth="9.00390625" defaultRowHeight="12.75"/>
  <cols>
    <col min="1" max="1" width="6.25390625" style="68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10.875" style="61" customWidth="1"/>
    <col min="12" max="16384" width="9.125" style="1" customWidth="1"/>
  </cols>
  <sheetData>
    <row r="1" spans="1:11" ht="110.25" customHeight="1">
      <c r="A1" s="57"/>
      <c r="B1" s="29"/>
      <c r="C1" s="47"/>
      <c r="D1" s="29"/>
      <c r="F1" s="385" t="s">
        <v>244</v>
      </c>
      <c r="G1" s="385"/>
      <c r="H1" s="385"/>
      <c r="I1" s="385"/>
      <c r="J1" s="385"/>
      <c r="K1" s="385"/>
    </row>
    <row r="2" spans="1:10" ht="37.5" customHeight="1">
      <c r="A2" s="278" t="s">
        <v>311</v>
      </c>
      <c r="B2" s="278"/>
      <c r="C2" s="278"/>
      <c r="D2" s="278"/>
      <c r="E2" s="278"/>
      <c r="F2" s="278"/>
      <c r="G2" s="278"/>
      <c r="H2" s="278"/>
      <c r="I2" s="71"/>
      <c r="J2" s="71"/>
    </row>
    <row r="3" spans="1:11" ht="25.5" customHeight="1">
      <c r="A3" s="279" t="s">
        <v>61</v>
      </c>
      <c r="B3" s="280" t="s">
        <v>312</v>
      </c>
      <c r="C3" s="280" t="s">
        <v>57</v>
      </c>
      <c r="D3" s="280" t="s">
        <v>106</v>
      </c>
      <c r="E3" s="276" t="s">
        <v>88</v>
      </c>
      <c r="F3" s="276" t="s">
        <v>84</v>
      </c>
      <c r="G3" s="276" t="s">
        <v>89</v>
      </c>
      <c r="H3" s="276" t="s">
        <v>90</v>
      </c>
      <c r="I3" s="276" t="s">
        <v>91</v>
      </c>
      <c r="J3" s="276" t="s">
        <v>92</v>
      </c>
      <c r="K3" s="276" t="s">
        <v>93</v>
      </c>
    </row>
    <row r="4" spans="1:11" ht="25.5" customHeight="1">
      <c r="A4" s="279"/>
      <c r="B4" s="280"/>
      <c r="C4" s="280"/>
      <c r="D4" s="280"/>
      <c r="E4" s="276"/>
      <c r="F4" s="276"/>
      <c r="G4" s="276"/>
      <c r="H4" s="276"/>
      <c r="I4" s="276"/>
      <c r="J4" s="276"/>
      <c r="K4" s="276"/>
    </row>
    <row r="5" spans="1:11" ht="25.5" customHeight="1">
      <c r="A5" s="279"/>
      <c r="B5" s="280"/>
      <c r="C5" s="280"/>
      <c r="D5" s="280"/>
      <c r="E5" s="276"/>
      <c r="F5" s="276"/>
      <c r="G5" s="276"/>
      <c r="H5" s="276"/>
      <c r="I5" s="276"/>
      <c r="J5" s="276"/>
      <c r="K5" s="276"/>
    </row>
    <row r="6" spans="1:11" ht="36" customHeight="1">
      <c r="A6" s="260" t="s">
        <v>377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ht="88.5" customHeight="1">
      <c r="A7" s="35" t="s">
        <v>218</v>
      </c>
      <c r="B7" s="63" t="s">
        <v>378</v>
      </c>
      <c r="C7" s="36" t="s">
        <v>55</v>
      </c>
      <c r="D7" s="37" t="s">
        <v>52</v>
      </c>
      <c r="E7" s="40">
        <v>97.09</v>
      </c>
      <c r="F7" s="40">
        <v>51.6</v>
      </c>
      <c r="G7" s="40">
        <v>66.6</v>
      </c>
      <c r="H7" s="40">
        <v>65</v>
      </c>
      <c r="I7" s="220">
        <v>20</v>
      </c>
      <c r="J7" s="220">
        <v>20</v>
      </c>
      <c r="K7" s="220">
        <v>20</v>
      </c>
    </row>
    <row r="8" spans="1:11" ht="122.25" customHeight="1">
      <c r="A8" s="35" t="s">
        <v>409</v>
      </c>
      <c r="B8" s="63" t="s">
        <v>124</v>
      </c>
      <c r="C8" s="36" t="s">
        <v>55</v>
      </c>
      <c r="D8" s="37" t="s">
        <v>52</v>
      </c>
      <c r="E8" s="14">
        <v>8.02</v>
      </c>
      <c r="F8" s="14">
        <v>1.05</v>
      </c>
      <c r="G8" s="14">
        <v>4.9</v>
      </c>
      <c r="H8" s="14">
        <v>5.1</v>
      </c>
      <c r="I8" s="14">
        <v>1.1</v>
      </c>
      <c r="J8" s="14">
        <v>1.1</v>
      </c>
      <c r="K8" s="14">
        <v>1.1</v>
      </c>
    </row>
    <row r="9" spans="1:12" ht="69" customHeight="1">
      <c r="A9" s="35" t="s">
        <v>410</v>
      </c>
      <c r="B9" s="63" t="s">
        <v>379</v>
      </c>
      <c r="C9" s="36" t="s">
        <v>66</v>
      </c>
      <c r="D9" s="37" t="s">
        <v>380</v>
      </c>
      <c r="E9" s="14"/>
      <c r="F9" s="14">
        <v>18</v>
      </c>
      <c r="G9" s="14">
        <v>59</v>
      </c>
      <c r="H9" s="14">
        <v>50</v>
      </c>
      <c r="I9" s="14">
        <v>50</v>
      </c>
      <c r="J9" s="14">
        <v>50</v>
      </c>
      <c r="K9" s="14">
        <v>50</v>
      </c>
      <c r="L9" s="1" t="s">
        <v>327</v>
      </c>
    </row>
    <row r="10" spans="1:11" ht="114" customHeight="1">
      <c r="A10" s="121" t="s">
        <v>411</v>
      </c>
      <c r="B10" s="124" t="s">
        <v>381</v>
      </c>
      <c r="C10" s="125" t="s">
        <v>382</v>
      </c>
      <c r="D10" s="126" t="s">
        <v>380</v>
      </c>
      <c r="E10" s="127"/>
      <c r="F10" s="174" t="s">
        <v>191</v>
      </c>
      <c r="G10" s="121" t="s">
        <v>192</v>
      </c>
      <c r="H10" s="121" t="s">
        <v>480</v>
      </c>
      <c r="I10" s="121" t="s">
        <v>480</v>
      </c>
      <c r="J10" s="121" t="s">
        <v>480</v>
      </c>
      <c r="K10" s="121" t="s">
        <v>480</v>
      </c>
    </row>
    <row r="11" spans="1:11" ht="114" customHeight="1">
      <c r="A11" s="35" t="s">
        <v>412</v>
      </c>
      <c r="B11" s="63" t="s">
        <v>383</v>
      </c>
      <c r="C11" s="36" t="s">
        <v>66</v>
      </c>
      <c r="D11" s="37" t="s">
        <v>380</v>
      </c>
      <c r="E11" s="14"/>
      <c r="F11" s="14">
        <v>114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</row>
    <row r="12" spans="1:11" ht="114" customHeight="1">
      <c r="A12" s="35" t="s">
        <v>413</v>
      </c>
      <c r="B12" s="63" t="s">
        <v>559</v>
      </c>
      <c r="C12" s="36" t="s">
        <v>66</v>
      </c>
      <c r="D12" s="37" t="s">
        <v>380</v>
      </c>
      <c r="E12" s="14"/>
      <c r="F12" s="14">
        <v>50</v>
      </c>
      <c r="G12" s="14">
        <v>0</v>
      </c>
      <c r="H12" s="14">
        <v>50</v>
      </c>
      <c r="I12" s="14">
        <v>50</v>
      </c>
      <c r="J12" s="14">
        <v>50</v>
      </c>
      <c r="K12" s="14">
        <v>50</v>
      </c>
    </row>
    <row r="13" spans="1:10" ht="114" customHeight="1">
      <c r="A13" s="91"/>
      <c r="B13" s="92"/>
      <c r="C13" s="75"/>
      <c r="D13" s="76"/>
      <c r="E13" s="74"/>
      <c r="F13" s="74"/>
      <c r="G13" s="74"/>
      <c r="H13" s="74"/>
      <c r="I13" s="74"/>
      <c r="J13" s="74"/>
    </row>
    <row r="14" ht="26.25" customHeight="1"/>
    <row r="15" ht="31.5" customHeight="1"/>
  </sheetData>
  <sheetProtection/>
  <mergeCells count="14">
    <mergeCell ref="F1:K1"/>
    <mergeCell ref="K3:K5"/>
    <mergeCell ref="A6:K6"/>
    <mergeCell ref="D3:D5"/>
    <mergeCell ref="E3:E5"/>
    <mergeCell ref="F3:F5"/>
    <mergeCell ref="A2:H2"/>
    <mergeCell ref="A3:A5"/>
    <mergeCell ref="B3:B5"/>
    <mergeCell ref="C3:C5"/>
    <mergeCell ref="J3:J5"/>
    <mergeCell ref="G3:G5"/>
    <mergeCell ref="H3:H5"/>
    <mergeCell ref="I3:I5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0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49998000264167786"/>
    <pageSetUpPr fitToPage="1"/>
  </sheetPr>
  <dimension ref="A1:O68"/>
  <sheetViews>
    <sheetView view="pageBreakPreview" zoomScale="78" zoomScaleNormal="59" zoomScaleSheetLayoutView="78" zoomScalePageLayoutView="0" workbookViewId="0" topLeftCell="D1">
      <pane ySplit="4" topLeftCell="BM11" activePane="bottomLeft" state="frozen"/>
      <selection pane="topLeft" activeCell="A1" sqref="A1"/>
      <selection pane="bottomLeft" activeCell="A2" sqref="A2:N2"/>
    </sheetView>
  </sheetViews>
  <sheetFormatPr defaultColWidth="9.00390625" defaultRowHeight="12.75"/>
  <cols>
    <col min="1" max="1" width="12.25390625" style="6" customWidth="1"/>
    <col min="2" max="2" width="64.75390625" style="1" customWidth="1"/>
    <col min="3" max="3" width="21.75390625" style="7" customWidth="1"/>
    <col min="4" max="4" width="10.875" style="7" customWidth="1"/>
    <col min="5" max="5" width="12.375" style="7" customWidth="1"/>
    <col min="6" max="6" width="13.875" style="65" customWidth="1"/>
    <col min="7" max="7" width="12.25390625" style="7" customWidth="1"/>
    <col min="8" max="13" width="14.25390625" style="1" customWidth="1"/>
    <col min="14" max="14" width="39.00390625" style="1" customWidth="1"/>
    <col min="15" max="15" width="8.125" style="1" customWidth="1"/>
    <col min="16" max="16" width="25.25390625" style="1" customWidth="1"/>
    <col min="17" max="16384" width="9.125" style="1" customWidth="1"/>
  </cols>
  <sheetData>
    <row r="1" spans="1:14" s="3" customFormat="1" ht="116.25" customHeight="1">
      <c r="A1" s="2"/>
      <c r="B1" s="5"/>
      <c r="C1" s="4"/>
      <c r="D1" s="4"/>
      <c r="E1" s="4"/>
      <c r="F1" s="74"/>
      <c r="G1" s="4"/>
      <c r="H1" s="386"/>
      <c r="I1" s="386"/>
      <c r="M1" s="385" t="s">
        <v>245</v>
      </c>
      <c r="N1" s="385"/>
    </row>
    <row r="2" spans="1:14" s="3" customFormat="1" ht="41.25" customHeight="1">
      <c r="A2" s="336" t="s">
        <v>156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3" customFormat="1" ht="32.25" customHeight="1">
      <c r="A3" s="276" t="s">
        <v>61</v>
      </c>
      <c r="B3" s="276" t="s">
        <v>75</v>
      </c>
      <c r="C3" s="276" t="s">
        <v>146</v>
      </c>
      <c r="D3" s="276" t="s">
        <v>145</v>
      </c>
      <c r="E3" s="276"/>
      <c r="F3" s="276"/>
      <c r="G3" s="276"/>
      <c r="H3" s="276" t="s">
        <v>150</v>
      </c>
      <c r="I3" s="276"/>
      <c r="J3" s="276"/>
      <c r="K3" s="276"/>
      <c r="L3" s="276"/>
      <c r="M3" s="276"/>
      <c r="N3" s="276" t="s">
        <v>157</v>
      </c>
    </row>
    <row r="4" spans="1:14" s="3" customFormat="1" ht="37.5" customHeight="1">
      <c r="A4" s="276"/>
      <c r="B4" s="276"/>
      <c r="C4" s="276"/>
      <c r="D4" s="11" t="s">
        <v>146</v>
      </c>
      <c r="E4" s="11" t="s">
        <v>147</v>
      </c>
      <c r="F4" s="11" t="s">
        <v>148</v>
      </c>
      <c r="G4" s="11" t="s">
        <v>149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151</v>
      </c>
      <c r="N4" s="276"/>
    </row>
    <row r="5" spans="1:14" ht="38.25" customHeight="1">
      <c r="A5" s="290" t="s">
        <v>384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4" ht="47.25" customHeight="1">
      <c r="A6" s="380" t="s">
        <v>494</v>
      </c>
      <c r="B6" s="380"/>
      <c r="C6" s="380"/>
      <c r="D6" s="380"/>
      <c r="E6" s="380"/>
      <c r="F6" s="380"/>
      <c r="G6" s="380"/>
      <c r="H6" s="380"/>
      <c r="I6" s="380"/>
      <c r="J6" s="31"/>
      <c r="K6" s="31"/>
      <c r="L6" s="31"/>
      <c r="M6" s="31"/>
      <c r="N6" s="130"/>
    </row>
    <row r="7" spans="1:14" ht="70.5" customHeight="1">
      <c r="A7" s="35" t="s">
        <v>218</v>
      </c>
      <c r="B7" s="85" t="s">
        <v>495</v>
      </c>
      <c r="C7" s="11" t="s">
        <v>42</v>
      </c>
      <c r="D7" s="86" t="s">
        <v>207</v>
      </c>
      <c r="E7" s="86" t="s">
        <v>208</v>
      </c>
      <c r="F7" s="86" t="s">
        <v>254</v>
      </c>
      <c r="G7" s="86" t="s">
        <v>205</v>
      </c>
      <c r="H7" s="149"/>
      <c r="I7" s="149"/>
      <c r="J7" s="149"/>
      <c r="K7" s="149"/>
      <c r="L7" s="149"/>
      <c r="M7" s="149">
        <f aca="true" t="shared" si="0" ref="M7:M17">SUM(H7:L7)</f>
        <v>0</v>
      </c>
      <c r="N7" s="290" t="s">
        <v>496</v>
      </c>
    </row>
    <row r="8" spans="1:15" ht="70.5" customHeight="1">
      <c r="A8" s="35" t="s">
        <v>219</v>
      </c>
      <c r="B8" s="93" t="s">
        <v>497</v>
      </c>
      <c r="C8" s="11" t="s">
        <v>42</v>
      </c>
      <c r="D8" s="86" t="s">
        <v>207</v>
      </c>
      <c r="E8" s="86" t="s">
        <v>208</v>
      </c>
      <c r="F8" s="86" t="s">
        <v>255</v>
      </c>
      <c r="G8" s="86" t="s">
        <v>205</v>
      </c>
      <c r="H8" s="149"/>
      <c r="I8" s="149"/>
      <c r="J8" s="149"/>
      <c r="K8" s="149"/>
      <c r="L8" s="149"/>
      <c r="M8" s="149">
        <f t="shared" si="0"/>
        <v>0</v>
      </c>
      <c r="N8" s="290"/>
      <c r="O8" s="1">
        <v>2</v>
      </c>
    </row>
    <row r="9" spans="1:14" ht="77.25" customHeight="1">
      <c r="A9" s="35" t="s">
        <v>4</v>
      </c>
      <c r="B9" s="93" t="s">
        <v>122</v>
      </c>
      <c r="C9" s="11" t="s">
        <v>42</v>
      </c>
      <c r="D9" s="86" t="s">
        <v>207</v>
      </c>
      <c r="E9" s="86" t="s">
        <v>208</v>
      </c>
      <c r="F9" s="86" t="s">
        <v>256</v>
      </c>
      <c r="G9" s="86" t="s">
        <v>205</v>
      </c>
      <c r="H9" s="149"/>
      <c r="I9" s="149"/>
      <c r="J9" s="149"/>
      <c r="K9" s="149"/>
      <c r="L9" s="149"/>
      <c r="M9" s="149">
        <f t="shared" si="0"/>
        <v>0</v>
      </c>
      <c r="N9" s="85" t="s">
        <v>498</v>
      </c>
    </row>
    <row r="10" spans="1:14" ht="77.25" customHeight="1">
      <c r="A10" s="35" t="s">
        <v>5</v>
      </c>
      <c r="B10" s="85" t="s">
        <v>499</v>
      </c>
      <c r="C10" s="11" t="s">
        <v>42</v>
      </c>
      <c r="D10" s="86" t="s">
        <v>207</v>
      </c>
      <c r="E10" s="86" t="s">
        <v>208</v>
      </c>
      <c r="F10" s="86" t="s">
        <v>257</v>
      </c>
      <c r="G10" s="86" t="s">
        <v>205</v>
      </c>
      <c r="H10" s="149"/>
      <c r="I10" s="149"/>
      <c r="J10" s="149"/>
      <c r="K10" s="149"/>
      <c r="L10" s="149"/>
      <c r="M10" s="149">
        <f t="shared" si="0"/>
        <v>0</v>
      </c>
      <c r="N10" s="85" t="s">
        <v>500</v>
      </c>
    </row>
    <row r="11" spans="1:14" ht="61.5" customHeight="1">
      <c r="A11" s="35" t="s">
        <v>501</v>
      </c>
      <c r="B11" s="93" t="s">
        <v>502</v>
      </c>
      <c r="C11" s="11" t="s">
        <v>537</v>
      </c>
      <c r="D11" s="86" t="s">
        <v>207</v>
      </c>
      <c r="E11" s="86" t="s">
        <v>208</v>
      </c>
      <c r="F11" s="86" t="s">
        <v>258</v>
      </c>
      <c r="G11" s="86" t="s">
        <v>205</v>
      </c>
      <c r="H11" s="149"/>
      <c r="I11" s="149"/>
      <c r="J11" s="149"/>
      <c r="K11" s="149"/>
      <c r="L11" s="149"/>
      <c r="M11" s="149">
        <f t="shared" si="0"/>
        <v>0</v>
      </c>
      <c r="N11" s="131" t="s">
        <v>503</v>
      </c>
    </row>
    <row r="12" spans="1:14" ht="37.5" customHeight="1">
      <c r="A12" s="290" t="s">
        <v>58</v>
      </c>
      <c r="B12" s="290"/>
      <c r="C12" s="11"/>
      <c r="D12" s="86"/>
      <c r="E12" s="86"/>
      <c r="F12" s="86"/>
      <c r="G12" s="86"/>
      <c r="H12" s="149">
        <f>SUM(H7:H11)</f>
        <v>0</v>
      </c>
      <c r="I12" s="149">
        <f>SUM(I7:I11)</f>
        <v>0</v>
      </c>
      <c r="J12" s="149">
        <f>SUM(J7:J11)</f>
        <v>0</v>
      </c>
      <c r="K12" s="149">
        <f>SUM(K7:K11)</f>
        <v>0</v>
      </c>
      <c r="L12" s="149">
        <f>SUM(L7:L11)</f>
        <v>0</v>
      </c>
      <c r="M12" s="149">
        <f t="shared" si="0"/>
        <v>0</v>
      </c>
      <c r="N12" s="131"/>
    </row>
    <row r="13" spans="1:14" ht="55.5" customHeight="1">
      <c r="A13" s="104" t="s">
        <v>504</v>
      </c>
      <c r="B13" s="19" t="s">
        <v>505</v>
      </c>
      <c r="C13" s="11" t="s">
        <v>537</v>
      </c>
      <c r="D13" s="86"/>
      <c r="E13" s="86"/>
      <c r="F13" s="86"/>
      <c r="G13" s="86"/>
      <c r="H13" s="149"/>
      <c r="I13" s="149"/>
      <c r="J13" s="149"/>
      <c r="K13" s="149"/>
      <c r="L13" s="149"/>
      <c r="M13" s="149">
        <f t="shared" si="0"/>
        <v>0</v>
      </c>
      <c r="N13" s="131"/>
    </row>
    <row r="14" spans="1:14" ht="93.75" customHeight="1">
      <c r="A14" s="35" t="s">
        <v>535</v>
      </c>
      <c r="B14" s="85" t="s">
        <v>175</v>
      </c>
      <c r="C14" s="11" t="s">
        <v>537</v>
      </c>
      <c r="D14" s="86" t="s">
        <v>207</v>
      </c>
      <c r="E14" s="86" t="s">
        <v>275</v>
      </c>
      <c r="F14" s="86" t="s">
        <v>470</v>
      </c>
      <c r="G14" s="86" t="s">
        <v>274</v>
      </c>
      <c r="H14" s="149">
        <v>779</v>
      </c>
      <c r="I14" s="213">
        <v>300.7</v>
      </c>
      <c r="J14" s="213">
        <v>823.1</v>
      </c>
      <c r="K14" s="213">
        <v>813</v>
      </c>
      <c r="L14" s="149"/>
      <c r="M14" s="149">
        <f t="shared" si="0"/>
        <v>2715.8</v>
      </c>
      <c r="N14" s="246" t="s">
        <v>279</v>
      </c>
    </row>
    <row r="15" spans="1:14" ht="93.75" customHeight="1">
      <c r="A15" s="35" t="s">
        <v>276</v>
      </c>
      <c r="B15" s="85" t="s">
        <v>173</v>
      </c>
      <c r="C15" s="11" t="s">
        <v>537</v>
      </c>
      <c r="D15" s="86" t="s">
        <v>207</v>
      </c>
      <c r="E15" s="86" t="s">
        <v>275</v>
      </c>
      <c r="F15" s="86" t="s">
        <v>471</v>
      </c>
      <c r="G15" s="86" t="s">
        <v>274</v>
      </c>
      <c r="H15" s="149">
        <v>1425.6</v>
      </c>
      <c r="I15" s="149"/>
      <c r="J15" s="213">
        <v>2067.7</v>
      </c>
      <c r="K15" s="213">
        <v>2077.8</v>
      </c>
      <c r="L15" s="213">
        <v>2890.8</v>
      </c>
      <c r="M15" s="149">
        <f t="shared" si="0"/>
        <v>8461.9</v>
      </c>
      <c r="N15" s="294"/>
    </row>
    <row r="16" spans="1:14" ht="93.75" customHeight="1">
      <c r="A16" s="35" t="s">
        <v>172</v>
      </c>
      <c r="B16" s="85" t="s">
        <v>174</v>
      </c>
      <c r="C16" s="11" t="s">
        <v>537</v>
      </c>
      <c r="D16" s="86" t="s">
        <v>207</v>
      </c>
      <c r="E16" s="86" t="s">
        <v>275</v>
      </c>
      <c r="F16" s="86" t="s">
        <v>277</v>
      </c>
      <c r="G16" s="86" t="s">
        <v>274</v>
      </c>
      <c r="H16" s="149">
        <v>2022.9</v>
      </c>
      <c r="I16" s="213">
        <v>711.1</v>
      </c>
      <c r="J16" s="149"/>
      <c r="K16" s="149"/>
      <c r="L16" s="149"/>
      <c r="M16" s="149">
        <f t="shared" si="0"/>
        <v>2734</v>
      </c>
      <c r="N16" s="247"/>
    </row>
    <row r="17" spans="1:14" ht="45.75" customHeight="1">
      <c r="A17" s="389" t="s">
        <v>59</v>
      </c>
      <c r="B17" s="389"/>
      <c r="C17" s="11"/>
      <c r="D17" s="86"/>
      <c r="E17" s="86"/>
      <c r="F17" s="86"/>
      <c r="G17" s="86"/>
      <c r="H17" s="149">
        <f>SUM(H14:H16)</f>
        <v>4227.5</v>
      </c>
      <c r="I17" s="149">
        <f>SUM(I14:I16)</f>
        <v>1011.8</v>
      </c>
      <c r="J17" s="149">
        <f>SUM(J14:J16)</f>
        <v>2890.8</v>
      </c>
      <c r="K17" s="149">
        <f>SUM(K14:K16)</f>
        <v>2890.8</v>
      </c>
      <c r="L17" s="149">
        <f>SUM(L14:L16)</f>
        <v>2890.8</v>
      </c>
      <c r="M17" s="149">
        <f t="shared" si="0"/>
        <v>13911.7</v>
      </c>
      <c r="N17" s="131"/>
    </row>
    <row r="18" spans="1:14" s="65" customFormat="1" ht="27" customHeight="1">
      <c r="A18" s="123" t="s">
        <v>506</v>
      </c>
      <c r="B18" s="123" t="s">
        <v>507</v>
      </c>
      <c r="C18" s="11"/>
      <c r="D18" s="86"/>
      <c r="E18" s="86"/>
      <c r="F18" s="86"/>
      <c r="G18" s="35"/>
      <c r="H18" s="45"/>
      <c r="I18" s="45"/>
      <c r="J18" s="45"/>
      <c r="K18" s="45"/>
      <c r="L18" s="45"/>
      <c r="M18" s="45"/>
      <c r="N18" s="85"/>
    </row>
    <row r="19" spans="1:14" ht="65.25" customHeight="1">
      <c r="A19" s="387" t="s">
        <v>316</v>
      </c>
      <c r="B19" s="319" t="s">
        <v>560</v>
      </c>
      <c r="C19" s="115" t="s">
        <v>561</v>
      </c>
      <c r="D19" s="86" t="s">
        <v>114</v>
      </c>
      <c r="E19" s="35" t="s">
        <v>202</v>
      </c>
      <c r="F19" s="35" t="s">
        <v>468</v>
      </c>
      <c r="G19" s="35" t="s">
        <v>182</v>
      </c>
      <c r="H19" s="45"/>
      <c r="I19" s="214">
        <v>150</v>
      </c>
      <c r="J19" s="214">
        <v>150</v>
      </c>
      <c r="K19" s="214">
        <v>150</v>
      </c>
      <c r="L19" s="214">
        <v>150</v>
      </c>
      <c r="M19" s="45">
        <f>SUM(H19:L19)</f>
        <v>600</v>
      </c>
      <c r="N19" s="340" t="s">
        <v>193</v>
      </c>
    </row>
    <row r="20" spans="1:14" ht="45.75" customHeight="1">
      <c r="A20" s="388"/>
      <c r="B20" s="321"/>
      <c r="C20" s="11" t="s">
        <v>537</v>
      </c>
      <c r="D20" s="86" t="s">
        <v>207</v>
      </c>
      <c r="E20" s="35" t="s">
        <v>202</v>
      </c>
      <c r="F20" s="35" t="s">
        <v>468</v>
      </c>
      <c r="G20" s="35" t="s">
        <v>186</v>
      </c>
      <c r="H20" s="45">
        <v>150</v>
      </c>
      <c r="I20" s="45"/>
      <c r="J20" s="45"/>
      <c r="K20" s="45"/>
      <c r="L20" s="45"/>
      <c r="M20" s="45">
        <f>SUM(H20:L20)</f>
        <v>150</v>
      </c>
      <c r="N20" s="340"/>
    </row>
    <row r="21" spans="1:14" ht="24.75" customHeight="1">
      <c r="A21" s="390" t="s">
        <v>60</v>
      </c>
      <c r="B21" s="391"/>
      <c r="C21" s="31"/>
      <c r="D21" s="31"/>
      <c r="E21" s="31"/>
      <c r="F21" s="35"/>
      <c r="G21" s="35"/>
      <c r="H21" s="45">
        <f aca="true" t="shared" si="1" ref="H21:M21">H20+H19</f>
        <v>150</v>
      </c>
      <c r="I21" s="45">
        <f t="shared" si="1"/>
        <v>150</v>
      </c>
      <c r="J21" s="45">
        <f t="shared" si="1"/>
        <v>150</v>
      </c>
      <c r="K21" s="45">
        <f t="shared" si="1"/>
        <v>150</v>
      </c>
      <c r="L21" s="45">
        <f t="shared" si="1"/>
        <v>150</v>
      </c>
      <c r="M21" s="45">
        <f t="shared" si="1"/>
        <v>750</v>
      </c>
      <c r="N21" s="122"/>
    </row>
    <row r="22" spans="1:14" ht="69.75" customHeight="1">
      <c r="A22" s="123" t="s">
        <v>508</v>
      </c>
      <c r="B22" s="123"/>
      <c r="C22" s="123"/>
      <c r="D22" s="86"/>
      <c r="E22" s="35"/>
      <c r="F22" s="35"/>
      <c r="G22" s="35"/>
      <c r="H22" s="45"/>
      <c r="I22" s="45"/>
      <c r="J22" s="45"/>
      <c r="K22" s="45"/>
      <c r="L22" s="45"/>
      <c r="M22" s="45"/>
      <c r="N22" s="103"/>
    </row>
    <row r="23" spans="1:14" ht="69.75" customHeight="1">
      <c r="A23" s="35" t="s">
        <v>509</v>
      </c>
      <c r="B23" s="103" t="s">
        <v>510</v>
      </c>
      <c r="C23" s="11" t="s">
        <v>537</v>
      </c>
      <c r="D23" s="86" t="s">
        <v>207</v>
      </c>
      <c r="E23" s="35" t="s">
        <v>208</v>
      </c>
      <c r="F23" s="35" t="s">
        <v>259</v>
      </c>
      <c r="G23" s="35" t="s">
        <v>205</v>
      </c>
      <c r="H23" s="45"/>
      <c r="I23" s="45"/>
      <c r="J23" s="45"/>
      <c r="K23" s="45"/>
      <c r="L23" s="45"/>
      <c r="M23" s="45">
        <f>SUM(H23:L23)</f>
        <v>0</v>
      </c>
      <c r="N23" s="132" t="s">
        <v>511</v>
      </c>
    </row>
    <row r="24" spans="1:14" ht="69.75" customHeight="1">
      <c r="A24" s="35" t="s">
        <v>512</v>
      </c>
      <c r="B24" s="103" t="s">
        <v>513</v>
      </c>
      <c r="C24" s="11" t="s">
        <v>537</v>
      </c>
      <c r="D24" s="86" t="s">
        <v>207</v>
      </c>
      <c r="E24" s="35" t="s">
        <v>208</v>
      </c>
      <c r="F24" s="35" t="s">
        <v>260</v>
      </c>
      <c r="G24" s="35" t="s">
        <v>205</v>
      </c>
      <c r="H24" s="45"/>
      <c r="I24" s="45"/>
      <c r="J24" s="45"/>
      <c r="K24" s="45"/>
      <c r="L24" s="45"/>
      <c r="M24" s="45">
        <f>SUM(H24:L24)</f>
        <v>0</v>
      </c>
      <c r="N24" s="132" t="s">
        <v>514</v>
      </c>
    </row>
    <row r="25" spans="1:14" ht="69.75" customHeight="1">
      <c r="A25" s="35" t="s">
        <v>515</v>
      </c>
      <c r="B25" s="103" t="s">
        <v>516</v>
      </c>
      <c r="C25" s="11" t="s">
        <v>537</v>
      </c>
      <c r="D25" s="86" t="s">
        <v>207</v>
      </c>
      <c r="E25" s="35" t="s">
        <v>208</v>
      </c>
      <c r="F25" s="35" t="s">
        <v>261</v>
      </c>
      <c r="G25" s="35" t="s">
        <v>205</v>
      </c>
      <c r="H25" s="45"/>
      <c r="I25" s="45"/>
      <c r="J25" s="45"/>
      <c r="K25" s="45"/>
      <c r="L25" s="45"/>
      <c r="M25" s="45">
        <f>SUM(H25:L25)</f>
        <v>0</v>
      </c>
      <c r="N25" s="132" t="s">
        <v>517</v>
      </c>
    </row>
    <row r="26" spans="1:14" ht="27.75" customHeight="1">
      <c r="A26" s="128" t="s">
        <v>78</v>
      </c>
      <c r="C26" s="31"/>
      <c r="D26" s="31"/>
      <c r="E26" s="31"/>
      <c r="F26" s="35"/>
      <c r="G26" s="31"/>
      <c r="H26" s="133">
        <f>SUM(H23:H25)</f>
        <v>0</v>
      </c>
      <c r="I26" s="133">
        <f>SUM(I23:I25)</f>
        <v>0</v>
      </c>
      <c r="J26" s="133">
        <f>SUM(J23:J25)</f>
        <v>0</v>
      </c>
      <c r="K26" s="133">
        <f>SUM(K23:K25)</f>
        <v>0</v>
      </c>
      <c r="L26" s="133">
        <f>SUM(L23:L25)</f>
        <v>0</v>
      </c>
      <c r="M26" s="45">
        <f>SUM(H26:J26)</f>
        <v>0</v>
      </c>
      <c r="N26" s="122"/>
    </row>
    <row r="27" spans="1:14" ht="27.75" customHeight="1">
      <c r="A27" s="342" t="s">
        <v>280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4"/>
    </row>
    <row r="28" spans="1:14" s="7" customFormat="1" ht="52.5" customHeight="1">
      <c r="A28" s="316" t="s">
        <v>281</v>
      </c>
      <c r="B28" s="288" t="s">
        <v>262</v>
      </c>
      <c r="C28" s="11" t="s">
        <v>537</v>
      </c>
      <c r="D28" s="11">
        <v>111</v>
      </c>
      <c r="E28" s="35" t="s">
        <v>208</v>
      </c>
      <c r="F28" s="86" t="s">
        <v>469</v>
      </c>
      <c r="G28" s="11">
        <v>121</v>
      </c>
      <c r="H28" s="160">
        <v>118.9</v>
      </c>
      <c r="I28" s="160"/>
      <c r="J28" s="160"/>
      <c r="K28" s="160"/>
      <c r="L28" s="160"/>
      <c r="M28" s="160">
        <f>SUM(H28:L28)</f>
        <v>118.9</v>
      </c>
      <c r="N28" s="246" t="s">
        <v>542</v>
      </c>
    </row>
    <row r="29" spans="1:14" ht="64.5" customHeight="1">
      <c r="A29" s="317"/>
      <c r="B29" s="289"/>
      <c r="C29" s="276" t="s">
        <v>541</v>
      </c>
      <c r="D29" s="340" t="s">
        <v>534</v>
      </c>
      <c r="E29" s="276" t="s">
        <v>208</v>
      </c>
      <c r="F29" s="340" t="s">
        <v>469</v>
      </c>
      <c r="G29" s="14">
        <v>121</v>
      </c>
      <c r="H29" s="160">
        <f>749.05-H30</f>
        <v>744.73</v>
      </c>
      <c r="I29" s="215">
        <v>788.3</v>
      </c>
      <c r="J29" s="215">
        <v>833.8</v>
      </c>
      <c r="K29" s="215">
        <v>833.8</v>
      </c>
      <c r="L29" s="215">
        <v>833.8</v>
      </c>
      <c r="M29" s="160">
        <f>SUM(H29:L29)</f>
        <v>4034.43</v>
      </c>
      <c r="N29" s="294"/>
    </row>
    <row r="30" spans="1:14" ht="64.5" customHeight="1">
      <c r="A30" s="317"/>
      <c r="B30" s="289"/>
      <c r="C30" s="276"/>
      <c r="D30" s="340"/>
      <c r="E30" s="276"/>
      <c r="F30" s="340"/>
      <c r="G30" s="14">
        <v>122</v>
      </c>
      <c r="H30" s="160">
        <v>4.32</v>
      </c>
      <c r="I30" s="215"/>
      <c r="J30" s="215"/>
      <c r="K30" s="215"/>
      <c r="L30" s="215"/>
      <c r="M30" s="160">
        <f>SUM(H30:L30)</f>
        <v>4.32</v>
      </c>
      <c r="N30" s="294"/>
    </row>
    <row r="31" spans="1:14" ht="64.5" customHeight="1">
      <c r="A31" s="318"/>
      <c r="B31" s="332"/>
      <c r="C31" s="276"/>
      <c r="D31" s="340"/>
      <c r="E31" s="276"/>
      <c r="F31" s="340"/>
      <c r="G31" s="14">
        <v>244</v>
      </c>
      <c r="H31" s="160">
        <v>173.95</v>
      </c>
      <c r="I31" s="215">
        <v>276.9</v>
      </c>
      <c r="J31" s="215">
        <v>248</v>
      </c>
      <c r="K31" s="215">
        <v>248</v>
      </c>
      <c r="L31" s="215">
        <v>248</v>
      </c>
      <c r="M31" s="160">
        <f>SUM(H31:L31)</f>
        <v>1194.85</v>
      </c>
      <c r="N31" s="247"/>
    </row>
    <row r="32" spans="1:14" ht="27.75" customHeight="1">
      <c r="A32" s="128" t="s">
        <v>278</v>
      </c>
      <c r="B32" s="31"/>
      <c r="C32" s="31"/>
      <c r="D32" s="31"/>
      <c r="E32" s="31"/>
      <c r="F32" s="35"/>
      <c r="G32" s="31"/>
      <c r="H32" s="160">
        <f aca="true" t="shared" si="2" ref="H32:M32">SUM(H28:H31)</f>
        <v>1041.9</v>
      </c>
      <c r="I32" s="160">
        <f t="shared" si="2"/>
        <v>1065.2</v>
      </c>
      <c r="J32" s="160">
        <f t="shared" si="2"/>
        <v>1081.8</v>
      </c>
      <c r="K32" s="160">
        <f t="shared" si="2"/>
        <v>1081.8</v>
      </c>
      <c r="L32" s="160">
        <f t="shared" si="2"/>
        <v>1081.8</v>
      </c>
      <c r="M32" s="160">
        <f t="shared" si="2"/>
        <v>5352.5</v>
      </c>
      <c r="N32" s="122"/>
    </row>
    <row r="33" spans="1:14" ht="21.75" customHeight="1">
      <c r="A33" s="348" t="s">
        <v>158</v>
      </c>
      <c r="B33" s="348"/>
      <c r="C33" s="11"/>
      <c r="D33" s="11"/>
      <c r="E33" s="11"/>
      <c r="F33" s="11"/>
      <c r="G33" s="129"/>
      <c r="H33" s="161">
        <f aca="true" t="shared" si="3" ref="H33:M33">H26+H21+H17+H12+H32</f>
        <v>5419.4</v>
      </c>
      <c r="I33" s="161">
        <f t="shared" si="3"/>
        <v>2227</v>
      </c>
      <c r="J33" s="161">
        <f t="shared" si="3"/>
        <v>4122.6</v>
      </c>
      <c r="K33" s="161">
        <f t="shared" si="3"/>
        <v>4122.6</v>
      </c>
      <c r="L33" s="161">
        <f t="shared" si="3"/>
        <v>4122.6</v>
      </c>
      <c r="M33" s="161">
        <f t="shared" si="3"/>
        <v>20014.2</v>
      </c>
      <c r="N33" s="31"/>
    </row>
    <row r="34" spans="1:14" ht="39" customHeight="1">
      <c r="A34" s="206"/>
      <c r="B34" s="369" t="s">
        <v>431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3" ht="15.75">
      <c r="A35" s="16"/>
      <c r="B35" s="89"/>
      <c r="C35" s="367" t="s">
        <v>82</v>
      </c>
      <c r="D35" s="367"/>
      <c r="E35" s="367"/>
      <c r="F35" s="367"/>
      <c r="G35" s="367"/>
      <c r="H35" s="182">
        <f aca="true" t="shared" si="4" ref="H35:M35">H14</f>
        <v>779</v>
      </c>
      <c r="I35" s="182">
        <f t="shared" si="4"/>
        <v>300.7</v>
      </c>
      <c r="J35" s="182">
        <f t="shared" si="4"/>
        <v>823.1</v>
      </c>
      <c r="K35" s="182">
        <f t="shared" si="4"/>
        <v>813</v>
      </c>
      <c r="L35" s="182">
        <f t="shared" si="4"/>
        <v>0</v>
      </c>
      <c r="M35" s="182">
        <f t="shared" si="4"/>
        <v>2715.8</v>
      </c>
    </row>
    <row r="36" spans="1:13" ht="15.75">
      <c r="A36" s="16"/>
      <c r="B36" s="89"/>
      <c r="C36" s="367" t="s">
        <v>64</v>
      </c>
      <c r="D36" s="367"/>
      <c r="E36" s="367"/>
      <c r="F36" s="367"/>
      <c r="G36" s="367"/>
      <c r="H36" s="182">
        <f aca="true" t="shared" si="5" ref="H36:M36">H15+H28+H29+H30+H31+H16</f>
        <v>4490.4</v>
      </c>
      <c r="I36" s="182">
        <f t="shared" si="5"/>
        <v>1776.3</v>
      </c>
      <c r="J36" s="182">
        <f t="shared" si="5"/>
        <v>3149.5</v>
      </c>
      <c r="K36" s="182">
        <f t="shared" si="5"/>
        <v>3159.6</v>
      </c>
      <c r="L36" s="182">
        <f t="shared" si="5"/>
        <v>3972.6</v>
      </c>
      <c r="M36" s="182">
        <f t="shared" si="5"/>
        <v>16548.4</v>
      </c>
    </row>
    <row r="37" spans="1:13" ht="15.75">
      <c r="A37" s="16"/>
      <c r="B37" s="89"/>
      <c r="C37" s="367" t="s">
        <v>519</v>
      </c>
      <c r="D37" s="367"/>
      <c r="E37" s="367"/>
      <c r="F37" s="367"/>
      <c r="G37" s="367"/>
      <c r="H37" s="182">
        <f aca="true" t="shared" si="6" ref="H37:M37">H19+H20</f>
        <v>150</v>
      </c>
      <c r="I37" s="182">
        <f t="shared" si="6"/>
        <v>150</v>
      </c>
      <c r="J37" s="182">
        <f t="shared" si="6"/>
        <v>150</v>
      </c>
      <c r="K37" s="182">
        <f t="shared" si="6"/>
        <v>150</v>
      </c>
      <c r="L37" s="182">
        <f t="shared" si="6"/>
        <v>150</v>
      </c>
      <c r="M37" s="182">
        <f t="shared" si="6"/>
        <v>750</v>
      </c>
    </row>
    <row r="38" spans="1:13" ht="15.75">
      <c r="A38" s="16"/>
      <c r="B38" s="89"/>
      <c r="C38" s="366" t="s">
        <v>158</v>
      </c>
      <c r="D38" s="366"/>
      <c r="E38" s="366"/>
      <c r="F38" s="366"/>
      <c r="G38" s="366"/>
      <c r="H38" s="182">
        <f aca="true" t="shared" si="7" ref="H38:M38">SUM(H35:H37)</f>
        <v>5419.4</v>
      </c>
      <c r="I38" s="182">
        <f t="shared" si="7"/>
        <v>2227</v>
      </c>
      <c r="J38" s="182">
        <f t="shared" si="7"/>
        <v>4122.6</v>
      </c>
      <c r="K38" s="182">
        <f t="shared" si="7"/>
        <v>4122.6</v>
      </c>
      <c r="L38" s="182">
        <f t="shared" si="7"/>
        <v>4122.6</v>
      </c>
      <c r="M38" s="182">
        <f t="shared" si="7"/>
        <v>20014.2</v>
      </c>
    </row>
    <row r="39" spans="1:13" ht="15.75">
      <c r="A39" s="16"/>
      <c r="B39" s="89"/>
      <c r="C39" s="65"/>
      <c r="D39" s="17"/>
      <c r="E39" s="17"/>
      <c r="F39" s="17"/>
      <c r="G39" s="17"/>
      <c r="H39" s="150"/>
      <c r="I39" s="150"/>
      <c r="J39" s="150"/>
      <c r="K39" s="150"/>
      <c r="L39" s="150"/>
      <c r="M39" s="150"/>
    </row>
    <row r="40" spans="1:14" ht="21.75" customHeight="1">
      <c r="A40" s="16"/>
      <c r="B40" s="368" t="s">
        <v>430</v>
      </c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</row>
    <row r="41" spans="1:13" ht="15.75">
      <c r="A41" s="16"/>
      <c r="B41" s="89"/>
      <c r="C41" s="362" t="s">
        <v>531</v>
      </c>
      <c r="D41" s="362"/>
      <c r="E41" s="362"/>
      <c r="F41" s="362"/>
      <c r="G41" s="362"/>
      <c r="H41" s="208">
        <f aca="true" t="shared" si="8" ref="H41:M41">H29+H30+H31</f>
        <v>923</v>
      </c>
      <c r="I41" s="208">
        <f t="shared" si="8"/>
        <v>1065.2</v>
      </c>
      <c r="J41" s="208">
        <f t="shared" si="8"/>
        <v>1081.8</v>
      </c>
      <c r="K41" s="208">
        <f t="shared" si="8"/>
        <v>1081.8</v>
      </c>
      <c r="L41" s="208">
        <f t="shared" si="8"/>
        <v>1081.8</v>
      </c>
      <c r="M41" s="208">
        <f t="shared" si="8"/>
        <v>5233.6</v>
      </c>
    </row>
    <row r="42" spans="1:13" ht="15.75">
      <c r="A42" s="16"/>
      <c r="B42" s="89"/>
      <c r="C42" s="362" t="s">
        <v>528</v>
      </c>
      <c r="D42" s="362"/>
      <c r="E42" s="362"/>
      <c r="F42" s="362"/>
      <c r="G42" s="362"/>
      <c r="H42" s="208">
        <f aca="true" t="shared" si="9" ref="H42:M42">H28+H20+H16+H15+H14</f>
        <v>4496.4</v>
      </c>
      <c r="I42" s="208">
        <f t="shared" si="9"/>
        <v>1011.8</v>
      </c>
      <c r="J42" s="208">
        <f t="shared" si="9"/>
        <v>2890.8</v>
      </c>
      <c r="K42" s="208">
        <f t="shared" si="9"/>
        <v>2890.8</v>
      </c>
      <c r="L42" s="208">
        <f t="shared" si="9"/>
        <v>2890.8</v>
      </c>
      <c r="M42" s="208">
        <f t="shared" si="9"/>
        <v>14180.6</v>
      </c>
    </row>
    <row r="43" spans="1:13" ht="33" customHeight="1">
      <c r="A43" s="16"/>
      <c r="B43" s="89"/>
      <c r="C43" s="363" t="s">
        <v>429</v>
      </c>
      <c r="D43" s="364"/>
      <c r="E43" s="364"/>
      <c r="F43" s="364"/>
      <c r="G43" s="365"/>
      <c r="H43" s="209">
        <f aca="true" t="shared" si="10" ref="H43:M43">H19</f>
        <v>0</v>
      </c>
      <c r="I43" s="209">
        <f t="shared" si="10"/>
        <v>150</v>
      </c>
      <c r="J43" s="209">
        <f t="shared" si="10"/>
        <v>150</v>
      </c>
      <c r="K43" s="209">
        <f t="shared" si="10"/>
        <v>150</v>
      </c>
      <c r="L43" s="209">
        <f t="shared" si="10"/>
        <v>150</v>
      </c>
      <c r="M43" s="209">
        <f t="shared" si="10"/>
        <v>600</v>
      </c>
    </row>
    <row r="44" spans="1:13" ht="15.75">
      <c r="A44" s="16"/>
      <c r="B44" s="89"/>
      <c r="C44" s="366" t="s">
        <v>158</v>
      </c>
      <c r="D44" s="366"/>
      <c r="E44" s="366"/>
      <c r="F44" s="366"/>
      <c r="G44" s="366"/>
      <c r="H44" s="208">
        <f aca="true" t="shared" si="11" ref="H44:M44">SUM(H41:H43)</f>
        <v>5419.4</v>
      </c>
      <c r="I44" s="208">
        <f t="shared" si="11"/>
        <v>2227</v>
      </c>
      <c r="J44" s="208">
        <f t="shared" si="11"/>
        <v>4122.6</v>
      </c>
      <c r="K44" s="208">
        <f t="shared" si="11"/>
        <v>4122.6</v>
      </c>
      <c r="L44" s="208">
        <f t="shared" si="11"/>
        <v>4122.6</v>
      </c>
      <c r="M44" s="208">
        <f t="shared" si="11"/>
        <v>20014.2</v>
      </c>
    </row>
    <row r="45" spans="1:7" ht="15.75">
      <c r="A45" s="16"/>
      <c r="B45" s="15"/>
      <c r="C45" s="17"/>
      <c r="D45" s="17"/>
      <c r="E45" s="17"/>
      <c r="G45" s="17"/>
    </row>
    <row r="46" spans="1:7" ht="15.75">
      <c r="A46" s="16"/>
      <c r="B46" s="15"/>
      <c r="C46" s="17"/>
      <c r="D46" s="17"/>
      <c r="E46" s="17"/>
      <c r="G46" s="17"/>
    </row>
    <row r="47" spans="1:7" ht="15.75">
      <c r="A47" s="16"/>
      <c r="B47" s="15"/>
      <c r="C47" s="17"/>
      <c r="D47" s="17"/>
      <c r="E47" s="17"/>
      <c r="G47" s="17"/>
    </row>
    <row r="48" spans="1:7" ht="15.75">
      <c r="A48" s="16"/>
      <c r="B48" s="15"/>
      <c r="C48" s="17"/>
      <c r="D48" s="17"/>
      <c r="E48" s="17"/>
      <c r="G48" s="17"/>
    </row>
    <row r="49" spans="1:7" ht="15.75">
      <c r="A49" s="16"/>
      <c r="B49" s="15"/>
      <c r="C49" s="17"/>
      <c r="D49" s="17"/>
      <c r="E49" s="17"/>
      <c r="G49" s="17"/>
    </row>
    <row r="50" spans="1:7" ht="15.75">
      <c r="A50" s="16"/>
      <c r="B50" s="15"/>
      <c r="C50" s="17"/>
      <c r="D50" s="17"/>
      <c r="E50" s="17"/>
      <c r="G50" s="17"/>
    </row>
    <row r="51" spans="1:7" ht="15.75">
      <c r="A51" s="16"/>
      <c r="B51" s="15"/>
      <c r="C51" s="17"/>
      <c r="D51" s="17"/>
      <c r="E51" s="17"/>
      <c r="G51" s="17"/>
    </row>
    <row r="52" spans="1:7" ht="15.75">
      <c r="A52" s="16"/>
      <c r="B52" s="15"/>
      <c r="C52" s="17"/>
      <c r="D52" s="17"/>
      <c r="E52" s="17"/>
      <c r="G52" s="17"/>
    </row>
    <row r="53" spans="1:7" ht="15.75">
      <c r="A53" s="16"/>
      <c r="B53" s="15"/>
      <c r="C53" s="17"/>
      <c r="D53" s="17"/>
      <c r="E53" s="17"/>
      <c r="G53" s="17"/>
    </row>
    <row r="54" spans="1:7" ht="15.75">
      <c r="A54" s="16"/>
      <c r="B54" s="15"/>
      <c r="C54" s="17"/>
      <c r="D54" s="17"/>
      <c r="E54" s="17"/>
      <c r="G54" s="17"/>
    </row>
    <row r="55" spans="1:7" ht="15.75">
      <c r="A55" s="16"/>
      <c r="B55" s="15"/>
      <c r="C55" s="17"/>
      <c r="D55" s="17"/>
      <c r="E55" s="17"/>
      <c r="G55" s="17"/>
    </row>
    <row r="56" spans="1:7" ht="15.75">
      <c r="A56" s="16"/>
      <c r="B56" s="15"/>
      <c r="C56" s="17"/>
      <c r="D56" s="17"/>
      <c r="E56" s="17"/>
      <c r="G56" s="17"/>
    </row>
    <row r="57" spans="1:7" ht="15.75">
      <c r="A57" s="16"/>
      <c r="B57" s="15"/>
      <c r="C57" s="17"/>
      <c r="D57" s="17"/>
      <c r="E57" s="17"/>
      <c r="G57" s="17"/>
    </row>
    <row r="58" spans="1:7" ht="15.75">
      <c r="A58" s="16"/>
      <c r="B58" s="15"/>
      <c r="C58" s="17"/>
      <c r="D58" s="17"/>
      <c r="E58" s="17"/>
      <c r="G58" s="17"/>
    </row>
    <row r="59" spans="1:7" ht="15.75">
      <c r="A59" s="16"/>
      <c r="B59" s="15"/>
      <c r="C59" s="17"/>
      <c r="D59" s="17"/>
      <c r="E59" s="17"/>
      <c r="G59" s="17"/>
    </row>
    <row r="60" spans="1:7" ht="15.75">
      <c r="A60" s="16"/>
      <c r="B60" s="15"/>
      <c r="C60" s="17"/>
      <c r="D60" s="17"/>
      <c r="E60" s="17"/>
      <c r="G60" s="17"/>
    </row>
    <row r="61" spans="1:7" ht="15.75">
      <c r="A61" s="16"/>
      <c r="B61" s="15"/>
      <c r="C61" s="17"/>
      <c r="D61" s="17"/>
      <c r="E61" s="17"/>
      <c r="G61" s="17"/>
    </row>
    <row r="62" spans="1:7" ht="15.75">
      <c r="A62" s="16"/>
      <c r="B62" s="15"/>
      <c r="C62" s="17"/>
      <c r="D62" s="17"/>
      <c r="E62" s="17"/>
      <c r="G62" s="17"/>
    </row>
    <row r="63" spans="1:7" ht="15.75">
      <c r="A63" s="16"/>
      <c r="B63" s="15"/>
      <c r="C63" s="17"/>
      <c r="D63" s="17"/>
      <c r="E63" s="17"/>
      <c r="G63" s="17"/>
    </row>
    <row r="64" spans="1:7" ht="15.75">
      <c r="A64" s="16"/>
      <c r="B64" s="15"/>
      <c r="C64" s="17"/>
      <c r="D64" s="17"/>
      <c r="E64" s="17"/>
      <c r="G64" s="17"/>
    </row>
    <row r="65" spans="1:7" ht="15.75">
      <c r="A65" s="16"/>
      <c r="B65" s="15"/>
      <c r="C65" s="17"/>
      <c r="D65" s="17"/>
      <c r="E65" s="17"/>
      <c r="G65" s="17"/>
    </row>
    <row r="66" spans="1:5" ht="15.75">
      <c r="A66" s="16"/>
      <c r="B66" s="15"/>
      <c r="C66" s="17"/>
      <c r="D66" s="17"/>
      <c r="E66" s="17"/>
    </row>
    <row r="67" spans="1:5" ht="15.75">
      <c r="A67" s="16"/>
      <c r="B67" s="15"/>
      <c r="C67" s="17"/>
      <c r="D67" s="17"/>
      <c r="E67" s="17"/>
    </row>
    <row r="68" spans="1:5" ht="15.75">
      <c r="A68" s="16"/>
      <c r="B68" s="15"/>
      <c r="C68" s="17"/>
      <c r="D68" s="17"/>
      <c r="E68" s="17"/>
    </row>
  </sheetData>
  <sheetProtection/>
  <mergeCells count="38">
    <mergeCell ref="C41:G41"/>
    <mergeCell ref="C42:G42"/>
    <mergeCell ref="C43:G43"/>
    <mergeCell ref="C44:G44"/>
    <mergeCell ref="B34:N34"/>
    <mergeCell ref="C35:G35"/>
    <mergeCell ref="C36:G36"/>
    <mergeCell ref="C37:G37"/>
    <mergeCell ref="C38:G38"/>
    <mergeCell ref="B40:N40"/>
    <mergeCell ref="M1:N1"/>
    <mergeCell ref="A2:N2"/>
    <mergeCell ref="A6:I6"/>
    <mergeCell ref="N3:N4"/>
    <mergeCell ref="H1:I1"/>
    <mergeCell ref="A3:A4"/>
    <mergeCell ref="B3:B4"/>
    <mergeCell ref="A5:N5"/>
    <mergeCell ref="F29:F31"/>
    <mergeCell ref="D3:G3"/>
    <mergeCell ref="C3:C4"/>
    <mergeCell ref="H3:M3"/>
    <mergeCell ref="N7:N8"/>
    <mergeCell ref="A12:B12"/>
    <mergeCell ref="A17:B17"/>
    <mergeCell ref="A27:N27"/>
    <mergeCell ref="N14:N16"/>
    <mergeCell ref="A21:B21"/>
    <mergeCell ref="A33:B33"/>
    <mergeCell ref="A28:A31"/>
    <mergeCell ref="B28:B31"/>
    <mergeCell ref="N19:N20"/>
    <mergeCell ref="N28:N31"/>
    <mergeCell ref="A19:A20"/>
    <mergeCell ref="B19:B20"/>
    <mergeCell ref="C29:C31"/>
    <mergeCell ref="D29:D31"/>
    <mergeCell ref="E29:E31"/>
  </mergeCells>
  <printOptions/>
  <pageMargins left="0.5118110236220472" right="0.5118110236220472" top="0.5511811023622047" bottom="0.35433070866141736" header="0.31496062992125984" footer="0.31496062992125984"/>
  <pageSetup fitToHeight="2" fitToWidth="1" horizontalDpi="600" verticalDpi="600" orientation="landscape" paperSize="9" scale="47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"/>
  <sheetViews>
    <sheetView view="pageBreakPreview" zoomScale="80" zoomScaleSheetLayoutView="8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H2"/>
    </sheetView>
  </sheetViews>
  <sheetFormatPr defaultColWidth="9.00390625" defaultRowHeight="12.75"/>
  <cols>
    <col min="1" max="1" width="7.625" style="68" customWidth="1"/>
    <col min="2" max="2" width="79.125" style="1" customWidth="1"/>
    <col min="3" max="3" width="12.00390625" style="1" customWidth="1"/>
    <col min="4" max="4" width="16.25390625" style="1" customWidth="1"/>
    <col min="5" max="9" width="11.375" style="1" customWidth="1"/>
    <col min="10" max="10" width="9.125" style="61" customWidth="1"/>
    <col min="11" max="16384" width="9.125" style="1" customWidth="1"/>
  </cols>
  <sheetData>
    <row r="1" spans="1:10" ht="114.75" customHeight="1">
      <c r="A1" s="57"/>
      <c r="B1" s="29"/>
      <c r="C1" s="47"/>
      <c r="D1" s="29"/>
      <c r="E1" s="385" t="s">
        <v>246</v>
      </c>
      <c r="F1" s="385"/>
      <c r="G1" s="385"/>
      <c r="H1" s="385"/>
      <c r="I1" s="385"/>
      <c r="J1" s="385"/>
    </row>
    <row r="2" spans="1:9" ht="37.5" customHeight="1">
      <c r="A2" s="278" t="s">
        <v>311</v>
      </c>
      <c r="B2" s="278"/>
      <c r="C2" s="278"/>
      <c r="D2" s="278"/>
      <c r="E2" s="278"/>
      <c r="F2" s="278"/>
      <c r="G2" s="278"/>
      <c r="H2" s="278"/>
      <c r="I2" s="62"/>
    </row>
    <row r="3" spans="1:10" ht="25.5" customHeight="1">
      <c r="A3" s="279" t="s">
        <v>61</v>
      </c>
      <c r="B3" s="280" t="s">
        <v>312</v>
      </c>
      <c r="C3" s="280" t="s">
        <v>57</v>
      </c>
      <c r="D3" s="280" t="s">
        <v>106</v>
      </c>
      <c r="E3" s="276" t="s">
        <v>84</v>
      </c>
      <c r="F3" s="276" t="s">
        <v>89</v>
      </c>
      <c r="G3" s="276" t="s">
        <v>90</v>
      </c>
      <c r="H3" s="276" t="s">
        <v>91</v>
      </c>
      <c r="I3" s="276" t="s">
        <v>92</v>
      </c>
      <c r="J3" s="276" t="s">
        <v>93</v>
      </c>
    </row>
    <row r="4" spans="1:10" ht="25.5" customHeight="1">
      <c r="A4" s="279"/>
      <c r="B4" s="280"/>
      <c r="C4" s="280"/>
      <c r="D4" s="280"/>
      <c r="E4" s="276"/>
      <c r="F4" s="276"/>
      <c r="G4" s="276"/>
      <c r="H4" s="276"/>
      <c r="I4" s="276"/>
      <c r="J4" s="276"/>
    </row>
    <row r="5" spans="1:10" ht="25.5" customHeight="1">
      <c r="A5" s="279"/>
      <c r="B5" s="280"/>
      <c r="C5" s="280"/>
      <c r="D5" s="280"/>
      <c r="E5" s="276"/>
      <c r="F5" s="276"/>
      <c r="G5" s="276"/>
      <c r="H5" s="276"/>
      <c r="I5" s="276"/>
      <c r="J5" s="276"/>
    </row>
    <row r="6" spans="1:10" ht="27" customHeight="1">
      <c r="A6" s="260" t="s">
        <v>335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93.75" customHeight="1">
      <c r="A7" s="30" t="s">
        <v>403</v>
      </c>
      <c r="B7" s="94" t="s">
        <v>520</v>
      </c>
      <c r="C7" s="30" t="s">
        <v>213</v>
      </c>
      <c r="D7" s="30" t="s">
        <v>536</v>
      </c>
      <c r="E7" s="30">
        <v>5</v>
      </c>
      <c r="F7" s="30">
        <v>5</v>
      </c>
      <c r="G7" s="30">
        <v>5</v>
      </c>
      <c r="H7" s="30">
        <v>5</v>
      </c>
      <c r="I7" s="30">
        <v>5</v>
      </c>
      <c r="J7" s="30">
        <v>5</v>
      </c>
    </row>
    <row r="8" spans="1:10" ht="75" customHeight="1">
      <c r="A8" s="35" t="s">
        <v>404</v>
      </c>
      <c r="B8" s="140" t="s">
        <v>521</v>
      </c>
      <c r="C8" s="30" t="s">
        <v>213</v>
      </c>
      <c r="D8" s="30" t="s">
        <v>536</v>
      </c>
      <c r="E8" s="14">
        <v>5</v>
      </c>
      <c r="F8" s="14">
        <v>5</v>
      </c>
      <c r="G8" s="14">
        <v>5</v>
      </c>
      <c r="H8" s="14">
        <v>5</v>
      </c>
      <c r="I8" s="14">
        <v>5</v>
      </c>
      <c r="J8" s="30">
        <v>5</v>
      </c>
    </row>
    <row r="9" spans="1:10" ht="96" customHeight="1">
      <c r="A9" s="35" t="s">
        <v>405</v>
      </c>
      <c r="B9" s="140" t="s">
        <v>522</v>
      </c>
      <c r="C9" s="30" t="s">
        <v>213</v>
      </c>
      <c r="D9" s="30" t="s">
        <v>537</v>
      </c>
      <c r="E9" s="14">
        <v>5</v>
      </c>
      <c r="F9" s="14">
        <v>5</v>
      </c>
      <c r="G9" s="14">
        <v>5</v>
      </c>
      <c r="H9" s="14">
        <v>5</v>
      </c>
      <c r="I9" s="14">
        <v>5</v>
      </c>
      <c r="J9" s="30">
        <v>5</v>
      </c>
    </row>
    <row r="10" spans="1:10" ht="113.25" customHeight="1">
      <c r="A10" s="35" t="s">
        <v>406</v>
      </c>
      <c r="B10" s="80" t="s">
        <v>538</v>
      </c>
      <c r="C10" s="30" t="s">
        <v>213</v>
      </c>
      <c r="D10" s="30" t="s">
        <v>537</v>
      </c>
      <c r="E10" s="14">
        <v>5</v>
      </c>
      <c r="F10" s="14">
        <v>5</v>
      </c>
      <c r="G10" s="14">
        <v>5</v>
      </c>
      <c r="H10" s="14">
        <v>5</v>
      </c>
      <c r="I10" s="14">
        <v>5</v>
      </c>
      <c r="J10" s="30">
        <v>5</v>
      </c>
    </row>
    <row r="11" spans="1:10" ht="66.75" customHeight="1">
      <c r="A11" s="35" t="s">
        <v>407</v>
      </c>
      <c r="B11" s="140" t="s">
        <v>523</v>
      </c>
      <c r="C11" s="30" t="s">
        <v>213</v>
      </c>
      <c r="D11" s="30" t="s">
        <v>536</v>
      </c>
      <c r="E11" s="14">
        <v>5</v>
      </c>
      <c r="F11" s="14">
        <v>5</v>
      </c>
      <c r="G11" s="14">
        <v>5</v>
      </c>
      <c r="H11" s="14">
        <v>5</v>
      </c>
      <c r="I11" s="14">
        <v>5</v>
      </c>
      <c r="J11" s="30">
        <v>5</v>
      </c>
    </row>
    <row r="12" spans="1:9" ht="53.25" customHeight="1">
      <c r="A12" s="109"/>
      <c r="B12" s="69"/>
      <c r="C12" s="69"/>
      <c r="G12" s="277"/>
      <c r="H12" s="277"/>
      <c r="I12" s="62"/>
    </row>
  </sheetData>
  <sheetProtection/>
  <mergeCells count="14">
    <mergeCell ref="D3:D5"/>
    <mergeCell ref="E3:E5"/>
    <mergeCell ref="E1:J1"/>
    <mergeCell ref="J3:J5"/>
    <mergeCell ref="G12:H12"/>
    <mergeCell ref="A2:H2"/>
    <mergeCell ref="F3:F5"/>
    <mergeCell ref="G3:G5"/>
    <mergeCell ref="H3:H5"/>
    <mergeCell ref="A6:J6"/>
    <mergeCell ref="I3:I5"/>
    <mergeCell ref="A3:A5"/>
    <mergeCell ref="B3:B5"/>
    <mergeCell ref="C3:C5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7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6"/>
  <sheetViews>
    <sheetView tabSelected="1" view="pageBreakPreview" zoomScale="66" zoomScaleNormal="55" zoomScaleSheetLayoutView="66" zoomScalePageLayoutView="0" workbookViewId="0" topLeftCell="H1">
      <selection activeCell="A2" sqref="A2:N2"/>
    </sheetView>
  </sheetViews>
  <sheetFormatPr defaultColWidth="9.00390625" defaultRowHeight="12.75"/>
  <cols>
    <col min="1" max="1" width="8.375" style="6" customWidth="1"/>
    <col min="2" max="2" width="75.1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13.00390625" style="7" customWidth="1"/>
    <col min="8" max="13" width="18.75390625" style="1" customWidth="1"/>
    <col min="14" max="14" width="40.625" style="168" customWidth="1"/>
    <col min="15" max="15" width="8.125" style="1" customWidth="1"/>
    <col min="16" max="16" width="25.25390625" style="1" customWidth="1"/>
    <col min="17" max="16384" width="9.125" style="1" customWidth="1"/>
  </cols>
  <sheetData>
    <row r="1" spans="1:14" s="3" customFormat="1" ht="114.75" customHeight="1">
      <c r="A1" s="2"/>
      <c r="B1" s="5"/>
      <c r="C1" s="4"/>
      <c r="D1" s="4"/>
      <c r="E1" s="4"/>
      <c r="F1" s="4"/>
      <c r="G1" s="4"/>
      <c r="H1" s="386"/>
      <c r="I1" s="386"/>
      <c r="M1" s="385" t="s">
        <v>248</v>
      </c>
      <c r="N1" s="385"/>
    </row>
    <row r="2" spans="1:14" s="3" customFormat="1" ht="36" customHeight="1">
      <c r="A2" s="336" t="s">
        <v>156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3" customFormat="1" ht="32.25" customHeight="1">
      <c r="A3" s="276" t="s">
        <v>61</v>
      </c>
      <c r="B3" s="276" t="s">
        <v>75</v>
      </c>
      <c r="C3" s="276" t="s">
        <v>146</v>
      </c>
      <c r="D3" s="276" t="s">
        <v>145</v>
      </c>
      <c r="E3" s="276"/>
      <c r="F3" s="276"/>
      <c r="G3" s="276"/>
      <c r="H3" s="276" t="s">
        <v>150</v>
      </c>
      <c r="I3" s="276"/>
      <c r="J3" s="276"/>
      <c r="K3" s="276"/>
      <c r="L3" s="276"/>
      <c r="M3" s="276"/>
      <c r="N3" s="290" t="s">
        <v>157</v>
      </c>
    </row>
    <row r="4" spans="1:14" s="3" customFormat="1" ht="37.5" customHeight="1">
      <c r="A4" s="276"/>
      <c r="B4" s="276"/>
      <c r="C4" s="276"/>
      <c r="D4" s="11" t="s">
        <v>146</v>
      </c>
      <c r="E4" s="11" t="s">
        <v>147</v>
      </c>
      <c r="F4" s="11" t="s">
        <v>148</v>
      </c>
      <c r="G4" s="11" t="s">
        <v>149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151</v>
      </c>
      <c r="N4" s="290"/>
    </row>
    <row r="5" spans="1:14" ht="27" customHeight="1">
      <c r="A5" s="290" t="s">
        <v>549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4" ht="27" customHeight="1">
      <c r="A6" s="342" t="s">
        <v>539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</row>
    <row r="7" spans="1:14" ht="48.75" customHeight="1">
      <c r="A7" s="340" t="s">
        <v>220</v>
      </c>
      <c r="B7" s="276" t="s">
        <v>540</v>
      </c>
      <c r="C7" s="276" t="s">
        <v>541</v>
      </c>
      <c r="D7" s="340" t="s">
        <v>534</v>
      </c>
      <c r="E7" s="276" t="s">
        <v>208</v>
      </c>
      <c r="F7" s="340" t="s">
        <v>472</v>
      </c>
      <c r="G7" s="35" t="s">
        <v>112</v>
      </c>
      <c r="H7" s="167">
        <v>2075.78</v>
      </c>
      <c r="I7" s="167">
        <v>1633.4</v>
      </c>
      <c r="J7" s="167">
        <v>1797.4</v>
      </c>
      <c r="K7" s="167">
        <v>1797.4</v>
      </c>
      <c r="L7" s="167">
        <v>1797.4</v>
      </c>
      <c r="M7" s="167">
        <f>SUM(H7:L7)</f>
        <v>9101.38</v>
      </c>
      <c r="N7" s="288" t="s">
        <v>542</v>
      </c>
    </row>
    <row r="8" spans="1:14" ht="48.75" customHeight="1">
      <c r="A8" s="340"/>
      <c r="B8" s="276"/>
      <c r="C8" s="276"/>
      <c r="D8" s="340"/>
      <c r="E8" s="276"/>
      <c r="F8" s="340"/>
      <c r="G8" s="35" t="s">
        <v>113</v>
      </c>
      <c r="H8" s="167"/>
      <c r="I8" s="167"/>
      <c r="J8" s="167">
        <v>10.5</v>
      </c>
      <c r="K8" s="167">
        <v>10.5</v>
      </c>
      <c r="L8" s="167">
        <v>10.5</v>
      </c>
      <c r="M8" s="167">
        <f>SUM(H8:L8)</f>
        <v>31.5</v>
      </c>
      <c r="N8" s="289"/>
    </row>
    <row r="9" spans="1:14" ht="48.75" customHeight="1">
      <c r="A9" s="340"/>
      <c r="B9" s="276"/>
      <c r="C9" s="276"/>
      <c r="D9" s="340"/>
      <c r="E9" s="276"/>
      <c r="F9" s="340"/>
      <c r="G9" s="35" t="s">
        <v>205</v>
      </c>
      <c r="H9" s="167">
        <v>416.54</v>
      </c>
      <c r="I9" s="167">
        <v>348.1</v>
      </c>
      <c r="J9" s="167">
        <v>303.1</v>
      </c>
      <c r="K9" s="167">
        <v>303.1</v>
      </c>
      <c r="L9" s="167">
        <v>303.1</v>
      </c>
      <c r="M9" s="167">
        <f>SUM(H9:L9)</f>
        <v>1673.94</v>
      </c>
      <c r="N9" s="289"/>
    </row>
    <row r="10" spans="1:15" ht="48.75" customHeight="1">
      <c r="A10" s="340"/>
      <c r="B10" s="276"/>
      <c r="C10" s="276"/>
      <c r="D10" s="340"/>
      <c r="E10" s="276"/>
      <c r="F10" s="340"/>
      <c r="G10" s="35" t="s">
        <v>263</v>
      </c>
      <c r="H10" s="166"/>
      <c r="I10" s="166"/>
      <c r="J10" s="166">
        <v>0.6</v>
      </c>
      <c r="K10" s="166">
        <v>0.6</v>
      </c>
      <c r="L10" s="166">
        <v>0.6</v>
      </c>
      <c r="M10" s="167">
        <f>SUM(H10:L10)</f>
        <v>1.8</v>
      </c>
      <c r="N10" s="332"/>
      <c r="O10" s="1">
        <v>5123</v>
      </c>
    </row>
    <row r="11" spans="1:14" ht="48.75" customHeight="1">
      <c r="A11" s="395" t="s">
        <v>546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7"/>
    </row>
    <row r="12" spans="1:14" ht="40.5" customHeight="1">
      <c r="A12" s="392" t="s">
        <v>319</v>
      </c>
      <c r="B12" s="288" t="s">
        <v>543</v>
      </c>
      <c r="C12" s="246" t="s">
        <v>541</v>
      </c>
      <c r="D12" s="316" t="s">
        <v>534</v>
      </c>
      <c r="E12" s="246" t="s">
        <v>208</v>
      </c>
      <c r="F12" s="316" t="s">
        <v>247</v>
      </c>
      <c r="G12" s="35" t="s">
        <v>207</v>
      </c>
      <c r="H12" s="166">
        <v>2147.06</v>
      </c>
      <c r="I12" s="166">
        <v>2817.2</v>
      </c>
      <c r="J12" s="166">
        <v>2910.2</v>
      </c>
      <c r="K12" s="166">
        <v>2910.2</v>
      </c>
      <c r="L12" s="166">
        <v>2910.2</v>
      </c>
      <c r="M12" s="167">
        <f>SUM(H12:L12)</f>
        <v>13694.86</v>
      </c>
      <c r="N12" s="288" t="s">
        <v>544</v>
      </c>
    </row>
    <row r="13" spans="1:14" ht="40.5" customHeight="1">
      <c r="A13" s="393"/>
      <c r="B13" s="289"/>
      <c r="C13" s="294"/>
      <c r="D13" s="317"/>
      <c r="E13" s="294"/>
      <c r="F13" s="317"/>
      <c r="G13" s="35" t="s">
        <v>111</v>
      </c>
      <c r="H13" s="166">
        <v>12.4</v>
      </c>
      <c r="I13" s="166"/>
      <c r="J13" s="166"/>
      <c r="K13" s="166"/>
      <c r="L13" s="166"/>
      <c r="M13" s="167">
        <f aca="true" t="shared" si="0" ref="M13:M18">SUM(H13:L13)</f>
        <v>12.4</v>
      </c>
      <c r="N13" s="289"/>
    </row>
    <row r="14" spans="1:14" ht="40.5" customHeight="1">
      <c r="A14" s="393"/>
      <c r="B14" s="289"/>
      <c r="C14" s="294"/>
      <c r="D14" s="317"/>
      <c r="E14" s="294"/>
      <c r="F14" s="317"/>
      <c r="G14" s="35" t="s">
        <v>205</v>
      </c>
      <c r="H14" s="166">
        <v>1281.78</v>
      </c>
      <c r="I14" s="166">
        <v>1141.9</v>
      </c>
      <c r="J14" s="166">
        <v>1360</v>
      </c>
      <c r="K14" s="166">
        <v>1360</v>
      </c>
      <c r="L14" s="166">
        <v>1360</v>
      </c>
      <c r="M14" s="167">
        <f t="shared" si="0"/>
        <v>6503.68</v>
      </c>
      <c r="N14" s="289"/>
    </row>
    <row r="15" spans="1:15" ht="40.5" customHeight="1">
      <c r="A15" s="393"/>
      <c r="B15" s="332"/>
      <c r="C15" s="247"/>
      <c r="D15" s="318"/>
      <c r="E15" s="247"/>
      <c r="F15" s="318"/>
      <c r="G15" s="35" t="s">
        <v>263</v>
      </c>
      <c r="H15" s="166">
        <v>2.05</v>
      </c>
      <c r="I15" s="166">
        <v>2.1</v>
      </c>
      <c r="J15" s="166">
        <v>2.1</v>
      </c>
      <c r="K15" s="166">
        <v>2.1</v>
      </c>
      <c r="L15" s="166">
        <v>2.1</v>
      </c>
      <c r="M15" s="167">
        <f t="shared" si="0"/>
        <v>10.45</v>
      </c>
      <c r="N15" s="289"/>
      <c r="O15" s="1">
        <v>5123</v>
      </c>
    </row>
    <row r="16" spans="1:14" ht="73.5" customHeight="1">
      <c r="A16" s="394"/>
      <c r="B16" s="192" t="s">
        <v>415</v>
      </c>
      <c r="C16" s="115" t="s">
        <v>541</v>
      </c>
      <c r="D16" s="116" t="s">
        <v>534</v>
      </c>
      <c r="E16" s="115" t="s">
        <v>208</v>
      </c>
      <c r="F16" s="116" t="s">
        <v>419</v>
      </c>
      <c r="G16" s="35" t="s">
        <v>205</v>
      </c>
      <c r="H16" s="166"/>
      <c r="I16" s="166">
        <v>37.5</v>
      </c>
      <c r="J16" s="166"/>
      <c r="K16" s="166"/>
      <c r="L16" s="166"/>
      <c r="M16" s="167">
        <f t="shared" si="0"/>
        <v>37.5</v>
      </c>
      <c r="N16" s="289"/>
    </row>
    <row r="17" spans="1:14" ht="73.5" customHeight="1">
      <c r="A17" s="116" t="s">
        <v>264</v>
      </c>
      <c r="B17" s="154" t="s">
        <v>224</v>
      </c>
      <c r="C17" s="115" t="s">
        <v>541</v>
      </c>
      <c r="D17" s="116" t="s">
        <v>534</v>
      </c>
      <c r="E17" s="115" t="s">
        <v>208</v>
      </c>
      <c r="F17" s="116" t="s">
        <v>473</v>
      </c>
      <c r="G17" s="35" t="s">
        <v>266</v>
      </c>
      <c r="H17" s="166">
        <v>202.81</v>
      </c>
      <c r="I17" s="166">
        <v>312</v>
      </c>
      <c r="J17" s="166">
        <v>464.6</v>
      </c>
      <c r="K17" s="166">
        <v>464.6</v>
      </c>
      <c r="L17" s="166">
        <v>464.6</v>
      </c>
      <c r="M17" s="167">
        <f t="shared" si="0"/>
        <v>1908.61</v>
      </c>
      <c r="N17" s="332"/>
    </row>
    <row r="18" spans="1:14" ht="86.25" customHeight="1">
      <c r="A18" s="116" t="s">
        <v>265</v>
      </c>
      <c r="B18" s="131" t="s">
        <v>545</v>
      </c>
      <c r="C18" s="115" t="s">
        <v>541</v>
      </c>
      <c r="D18" s="102" t="s">
        <v>534</v>
      </c>
      <c r="E18" s="115" t="s">
        <v>208</v>
      </c>
      <c r="F18" s="116" t="s">
        <v>474</v>
      </c>
      <c r="G18" s="35" t="s">
        <v>336</v>
      </c>
      <c r="H18" s="166"/>
      <c r="I18" s="166">
        <v>47.2</v>
      </c>
      <c r="J18" s="166">
        <v>60</v>
      </c>
      <c r="K18" s="166">
        <v>60</v>
      </c>
      <c r="L18" s="166">
        <v>60</v>
      </c>
      <c r="M18" s="167">
        <f t="shared" si="0"/>
        <v>227.2</v>
      </c>
      <c r="N18" s="85" t="s">
        <v>343</v>
      </c>
    </row>
    <row r="19" spans="1:14" s="65" customFormat="1" ht="22.5" customHeight="1">
      <c r="A19" s="315" t="s">
        <v>158</v>
      </c>
      <c r="B19" s="315"/>
      <c r="C19" s="11"/>
      <c r="D19" s="86"/>
      <c r="E19" s="11"/>
      <c r="F19" s="11"/>
      <c r="G19" s="11"/>
      <c r="H19" s="166">
        <f aca="true" t="shared" si="1" ref="H19:M19">SUM(H7:H18)</f>
        <v>6138.42</v>
      </c>
      <c r="I19" s="166">
        <f t="shared" si="1"/>
        <v>6339.4</v>
      </c>
      <c r="J19" s="166">
        <f t="shared" si="1"/>
        <v>6908.5</v>
      </c>
      <c r="K19" s="166">
        <f t="shared" si="1"/>
        <v>6908.5</v>
      </c>
      <c r="L19" s="166">
        <f t="shared" si="1"/>
        <v>6908.5</v>
      </c>
      <c r="M19" s="166">
        <f t="shared" si="1"/>
        <v>33203.32</v>
      </c>
      <c r="N19" s="88"/>
    </row>
    <row r="20" spans="1:7" ht="15.75">
      <c r="A20" s="16"/>
      <c r="B20" s="15"/>
      <c r="C20" s="17"/>
      <c r="D20" s="17"/>
      <c r="E20" s="17"/>
      <c r="F20" s="17"/>
      <c r="G20" s="17"/>
    </row>
    <row r="21" spans="1:7" ht="15.75">
      <c r="A21" s="16"/>
      <c r="B21" s="15"/>
      <c r="C21" s="17"/>
      <c r="D21" s="17"/>
      <c r="E21" s="17"/>
      <c r="F21" s="17"/>
      <c r="G21" s="17"/>
    </row>
    <row r="22" spans="1:7" ht="15.75">
      <c r="A22" s="16"/>
      <c r="B22" s="15"/>
      <c r="C22" s="17"/>
      <c r="D22" s="17"/>
      <c r="E22" s="17"/>
      <c r="F22" s="17"/>
      <c r="G22" s="17"/>
    </row>
    <row r="23" spans="1:7" ht="15.75">
      <c r="A23" s="16"/>
      <c r="B23" s="15"/>
      <c r="C23" s="17"/>
      <c r="D23" s="17"/>
      <c r="E23" s="17"/>
      <c r="F23" s="17"/>
      <c r="G23" s="17"/>
    </row>
    <row r="24" spans="1:7" ht="15.75">
      <c r="A24" s="16"/>
      <c r="B24" s="15"/>
      <c r="C24" s="17"/>
      <c r="D24" s="17"/>
      <c r="E24" s="17"/>
      <c r="F24" s="17"/>
      <c r="G24" s="17"/>
    </row>
    <row r="25" spans="1:7" ht="15.75">
      <c r="A25" s="16"/>
      <c r="B25" s="15"/>
      <c r="C25" s="17"/>
      <c r="D25" s="17"/>
      <c r="E25" s="17"/>
      <c r="F25" s="17"/>
      <c r="G25" s="17"/>
    </row>
    <row r="26" spans="1:7" ht="15.75">
      <c r="A26" s="16"/>
      <c r="B26" s="15"/>
      <c r="C26" s="17"/>
      <c r="D26" s="17"/>
      <c r="E26" s="17"/>
      <c r="F26" s="17"/>
      <c r="G26" s="17"/>
    </row>
    <row r="27" spans="1:7" ht="15.75">
      <c r="A27" s="16"/>
      <c r="B27" s="15"/>
      <c r="C27" s="17"/>
      <c r="D27" s="17"/>
      <c r="E27" s="17"/>
      <c r="F27" s="17"/>
      <c r="G27" s="17"/>
    </row>
    <row r="28" spans="1:7" ht="15.75">
      <c r="A28" s="16"/>
      <c r="B28" s="15"/>
      <c r="C28" s="17"/>
      <c r="D28" s="17"/>
      <c r="E28" s="17"/>
      <c r="F28" s="17"/>
      <c r="G28" s="17"/>
    </row>
    <row r="29" spans="1:7" ht="15.75">
      <c r="A29" s="16"/>
      <c r="B29" s="15"/>
      <c r="C29" s="17"/>
      <c r="D29" s="17"/>
      <c r="E29" s="17"/>
      <c r="F29" s="17"/>
      <c r="G29" s="17"/>
    </row>
    <row r="30" spans="1:7" ht="15.75">
      <c r="A30" s="16"/>
      <c r="B30" s="15"/>
      <c r="C30" s="17"/>
      <c r="D30" s="17"/>
      <c r="E30" s="17"/>
      <c r="F30" s="17"/>
      <c r="G30" s="17"/>
    </row>
    <row r="31" spans="1:7" ht="15.75">
      <c r="A31" s="16"/>
      <c r="B31" s="15"/>
      <c r="C31" s="17"/>
      <c r="D31" s="17"/>
      <c r="E31" s="17"/>
      <c r="F31" s="17"/>
      <c r="G31" s="17"/>
    </row>
    <row r="32" spans="1:7" ht="15.75">
      <c r="A32" s="16"/>
      <c r="B32" s="15"/>
      <c r="C32" s="17"/>
      <c r="D32" s="17"/>
      <c r="E32" s="17"/>
      <c r="F32" s="17"/>
      <c r="G32" s="17"/>
    </row>
    <row r="33" spans="1:7" ht="15.75">
      <c r="A33" s="16"/>
      <c r="B33" s="15"/>
      <c r="C33" s="17"/>
      <c r="D33" s="17"/>
      <c r="E33" s="17"/>
      <c r="F33" s="17"/>
      <c r="G33" s="17"/>
    </row>
    <row r="34" spans="1:7" ht="15.75">
      <c r="A34" s="16"/>
      <c r="B34" s="15"/>
      <c r="C34" s="17"/>
      <c r="D34" s="17"/>
      <c r="E34" s="17"/>
      <c r="F34" s="17"/>
      <c r="G34" s="17"/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</sheetData>
  <sheetProtection/>
  <mergeCells count="27">
    <mergeCell ref="N12:N17"/>
    <mergeCell ref="D3:G3"/>
    <mergeCell ref="E12:E15"/>
    <mergeCell ref="A5:N5"/>
    <mergeCell ref="A11:N11"/>
    <mergeCell ref="D12:D15"/>
    <mergeCell ref="C7:C10"/>
    <mergeCell ref="D7:D10"/>
    <mergeCell ref="E7:E10"/>
    <mergeCell ref="F7:F10"/>
    <mergeCell ref="N7:N10"/>
    <mergeCell ref="H1:I1"/>
    <mergeCell ref="A6:N6"/>
    <mergeCell ref="F12:F15"/>
    <mergeCell ref="M1:N1"/>
    <mergeCell ref="A2:N2"/>
    <mergeCell ref="A3:A4"/>
    <mergeCell ref="B3:B4"/>
    <mergeCell ref="C3:C4"/>
    <mergeCell ref="N3:N4"/>
    <mergeCell ref="H3:M3"/>
    <mergeCell ref="A19:B19"/>
    <mergeCell ref="C12:C15"/>
    <mergeCell ref="B12:B15"/>
    <mergeCell ref="A7:A10"/>
    <mergeCell ref="B7:B10"/>
    <mergeCell ref="A12:A16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4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S17"/>
  <sheetViews>
    <sheetView view="pageBreakPreview" zoomScale="79" zoomScaleSheetLayoutView="79" zoomScalePageLayoutView="0" workbookViewId="0" topLeftCell="A1">
      <selection activeCell="A2" sqref="A2:Q2"/>
    </sheetView>
  </sheetViews>
  <sheetFormatPr defaultColWidth="9.00390625" defaultRowHeight="12.75"/>
  <cols>
    <col min="1" max="1" width="5.125" style="13" customWidth="1"/>
    <col min="2" max="2" width="43.37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125" style="8" customWidth="1"/>
    <col min="18" max="16384" width="9.125" style="8" customWidth="1"/>
  </cols>
  <sheetData>
    <row r="1" spans="11:17" ht="102" customHeight="1">
      <c r="K1" s="9"/>
      <c r="L1" s="9"/>
      <c r="M1" s="253" t="s">
        <v>241</v>
      </c>
      <c r="N1" s="253"/>
      <c r="O1" s="253"/>
      <c r="P1" s="253"/>
      <c r="Q1" s="253"/>
    </row>
    <row r="2" spans="1:17" ht="34.5" customHeight="1">
      <c r="A2" s="254" t="s">
        <v>303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5"/>
      <c r="N2" s="255"/>
      <c r="O2" s="255"/>
      <c r="P2" s="255"/>
      <c r="Q2" s="255"/>
    </row>
    <row r="3" spans="1:19" ht="17.25" customHeight="1">
      <c r="A3" s="241" t="s">
        <v>61</v>
      </c>
      <c r="B3" s="241" t="s">
        <v>56</v>
      </c>
      <c r="C3" s="241" t="s">
        <v>57</v>
      </c>
      <c r="D3" s="276" t="s">
        <v>87</v>
      </c>
      <c r="E3" s="276" t="s">
        <v>88</v>
      </c>
      <c r="F3" s="276" t="s">
        <v>83</v>
      </c>
      <c r="G3" s="246" t="s">
        <v>84</v>
      </c>
      <c r="H3" s="256" t="s">
        <v>89</v>
      </c>
      <c r="I3" s="241" t="s">
        <v>90</v>
      </c>
      <c r="J3" s="241" t="s">
        <v>91</v>
      </c>
      <c r="K3" s="242" t="s">
        <v>98</v>
      </c>
      <c r="L3" s="243"/>
      <c r="M3" s="244" t="s">
        <v>99</v>
      </c>
      <c r="N3" s="244"/>
      <c r="O3" s="244"/>
      <c r="P3" s="244"/>
      <c r="Q3" s="244"/>
      <c r="R3" s="244"/>
      <c r="S3" s="244"/>
    </row>
    <row r="4" spans="1:19" ht="33" customHeight="1">
      <c r="A4" s="241"/>
      <c r="B4" s="241"/>
      <c r="C4" s="241"/>
      <c r="D4" s="276"/>
      <c r="E4" s="276"/>
      <c r="F4" s="276"/>
      <c r="G4" s="247"/>
      <c r="H4" s="240"/>
      <c r="I4" s="241"/>
      <c r="J4" s="241"/>
      <c r="K4" s="10" t="s">
        <v>92</v>
      </c>
      <c r="L4" s="10" t="s">
        <v>93</v>
      </c>
      <c r="M4" s="207" t="s">
        <v>94</v>
      </c>
      <c r="N4" s="10" t="s">
        <v>95</v>
      </c>
      <c r="O4" s="10" t="s">
        <v>96</v>
      </c>
      <c r="P4" s="10" t="s">
        <v>97</v>
      </c>
      <c r="Q4" s="46" t="s">
        <v>139</v>
      </c>
      <c r="R4" s="46">
        <v>2024</v>
      </c>
      <c r="S4" s="46">
        <v>2025</v>
      </c>
    </row>
    <row r="5" spans="1:19" ht="32.25" customHeight="1">
      <c r="A5" s="232" t="s">
        <v>550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19" ht="79.5" customHeight="1">
      <c r="A6" s="10">
        <v>1</v>
      </c>
      <c r="B6" s="63" t="s">
        <v>313</v>
      </c>
      <c r="C6" s="14" t="s">
        <v>55</v>
      </c>
      <c r="D6" s="18">
        <v>54.1</v>
      </c>
      <c r="E6" s="40">
        <v>2.34</v>
      </c>
      <c r="F6" s="135">
        <f>(49650+5442+282531+928+1675+13302+20611+2334)/(410700-970)*100</f>
        <v>91.88</v>
      </c>
      <c r="G6" s="135">
        <f>(49650+5442+282531+928+1675+13302+20611+2334)/(410700-970)*100</f>
        <v>91.88</v>
      </c>
      <c r="H6" s="135">
        <v>92</v>
      </c>
      <c r="I6" s="135">
        <v>92.1</v>
      </c>
      <c r="J6" s="135">
        <v>92.2</v>
      </c>
      <c r="K6" s="135">
        <v>92.3</v>
      </c>
      <c r="L6" s="135">
        <v>92.4</v>
      </c>
      <c r="M6" s="135">
        <v>92.5</v>
      </c>
      <c r="N6" s="135">
        <v>92.6</v>
      </c>
      <c r="O6" s="135">
        <v>92.7</v>
      </c>
      <c r="P6" s="135">
        <v>92.8</v>
      </c>
      <c r="Q6" s="135">
        <v>92.9</v>
      </c>
      <c r="R6" s="135">
        <v>93</v>
      </c>
      <c r="S6" s="135">
        <v>100</v>
      </c>
    </row>
    <row r="7" spans="1:19" ht="189" customHeight="1">
      <c r="A7" s="11">
        <v>2</v>
      </c>
      <c r="B7" s="63" t="s">
        <v>8</v>
      </c>
      <c r="C7" s="14" t="s">
        <v>55</v>
      </c>
      <c r="D7" s="30" t="e">
        <f>#REF!</f>
        <v>#REF!</v>
      </c>
      <c r="E7" s="40">
        <v>60.5</v>
      </c>
      <c r="F7" s="14">
        <v>62.2</v>
      </c>
      <c r="G7" s="14">
        <v>71.26</v>
      </c>
      <c r="H7" s="14">
        <v>82.57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</row>
    <row r="8" spans="1:19" ht="129" customHeight="1">
      <c r="A8" s="10">
        <v>3</v>
      </c>
      <c r="B8" s="136" t="s">
        <v>9</v>
      </c>
      <c r="C8" s="30" t="s">
        <v>55</v>
      </c>
      <c r="D8" s="28">
        <v>95.6</v>
      </c>
      <c r="E8" s="39">
        <v>96.7</v>
      </c>
      <c r="F8" s="30">
        <v>1.96</v>
      </c>
      <c r="G8" s="30">
        <v>1.86</v>
      </c>
      <c r="H8" s="30">
        <v>1.82</v>
      </c>
      <c r="I8" s="30">
        <v>5.23</v>
      </c>
      <c r="J8" s="30">
        <v>5.21</v>
      </c>
      <c r="K8" s="30">
        <v>5.21</v>
      </c>
      <c r="L8" s="30">
        <v>5.21</v>
      </c>
      <c r="M8" s="30">
        <v>5</v>
      </c>
      <c r="N8" s="30">
        <v>4.9</v>
      </c>
      <c r="O8" s="30">
        <v>4.8</v>
      </c>
      <c r="P8" s="30">
        <v>4.7</v>
      </c>
      <c r="Q8" s="30">
        <v>4.6</v>
      </c>
      <c r="R8" s="30">
        <v>4.5</v>
      </c>
      <c r="S8" s="30">
        <v>4.5</v>
      </c>
    </row>
    <row r="9" spans="1:19" ht="133.5" customHeight="1">
      <c r="A9" s="10">
        <v>4</v>
      </c>
      <c r="B9" s="63" t="s">
        <v>137</v>
      </c>
      <c r="C9" s="14" t="s">
        <v>55</v>
      </c>
      <c r="D9" s="28"/>
      <c r="E9" s="39"/>
      <c r="F9" s="40">
        <v>7.69</v>
      </c>
      <c r="G9" s="40">
        <v>9.09</v>
      </c>
      <c r="H9" s="40">
        <v>18.2</v>
      </c>
      <c r="I9" s="40">
        <v>80.56</v>
      </c>
      <c r="J9" s="40">
        <v>81.87</v>
      </c>
      <c r="K9" s="40">
        <v>81.87</v>
      </c>
      <c r="L9" s="210">
        <v>81.87</v>
      </c>
      <c r="M9" s="210">
        <v>81.87</v>
      </c>
      <c r="N9" s="210">
        <v>81.87</v>
      </c>
      <c r="O9" s="210">
        <v>81.87</v>
      </c>
      <c r="P9" s="210">
        <v>81.87</v>
      </c>
      <c r="Q9" s="40">
        <v>83.18</v>
      </c>
      <c r="R9" s="40">
        <v>83.18</v>
      </c>
      <c r="S9" s="40">
        <v>83.18</v>
      </c>
    </row>
    <row r="10" spans="1:17" ht="59.25" customHeight="1">
      <c r="A10" s="245"/>
      <c r="B10" s="245"/>
      <c r="C10" s="245"/>
      <c r="D10" s="245"/>
      <c r="E10" s="245"/>
      <c r="F10" s="9"/>
      <c r="M10" s="248"/>
      <c r="N10" s="248"/>
      <c r="O10" s="248"/>
      <c r="P10" s="248"/>
      <c r="Q10" s="231"/>
    </row>
    <row r="15" spans="4:7" ht="15.75">
      <c r="D15" s="24"/>
      <c r="E15" s="24"/>
      <c r="F15" s="3"/>
      <c r="G15" s="24"/>
    </row>
    <row r="16" spans="4:7" ht="15.75">
      <c r="D16" s="25"/>
      <c r="E16" s="26"/>
      <c r="F16" s="22"/>
      <c r="G16" s="26"/>
    </row>
    <row r="17" spans="4:7" ht="15.75">
      <c r="D17" s="27"/>
      <c r="E17" s="27"/>
      <c r="F17" s="23"/>
      <c r="G17" s="27"/>
    </row>
  </sheetData>
  <sheetProtection/>
  <mergeCells count="17">
    <mergeCell ref="A10:E10"/>
    <mergeCell ref="A3:A4"/>
    <mergeCell ref="G3:G4"/>
    <mergeCell ref="M10:Q10"/>
    <mergeCell ref="C3:C4"/>
    <mergeCell ref="F3:F4"/>
    <mergeCell ref="B3:B4"/>
    <mergeCell ref="E3:E4"/>
    <mergeCell ref="A5:S5"/>
    <mergeCell ref="M1:Q1"/>
    <mergeCell ref="D3:D4"/>
    <mergeCell ref="A2:Q2"/>
    <mergeCell ref="H3:H4"/>
    <mergeCell ref="I3:I4"/>
    <mergeCell ref="J3:J4"/>
    <mergeCell ref="K3:L3"/>
    <mergeCell ref="M3:S3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6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45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1" sqref="D11"/>
    </sheetView>
  </sheetViews>
  <sheetFormatPr defaultColWidth="9.00390625" defaultRowHeight="12.75"/>
  <cols>
    <col min="1" max="1" width="5.25390625" style="43" customWidth="1"/>
    <col min="2" max="2" width="53.875" style="43" customWidth="1"/>
    <col min="3" max="9" width="17.00390625" style="43" customWidth="1"/>
    <col min="10" max="16384" width="9.125" style="43" customWidth="1"/>
  </cols>
  <sheetData>
    <row r="1" spans="1:9" ht="105" customHeight="1">
      <c r="A1" s="33"/>
      <c r="B1" s="33"/>
      <c r="C1" s="33"/>
      <c r="E1" s="108"/>
      <c r="G1" s="234" t="s">
        <v>428</v>
      </c>
      <c r="H1" s="234"/>
      <c r="I1" s="234"/>
    </row>
    <row r="2" spans="1:9" ht="52.5" customHeight="1">
      <c r="A2" s="235" t="s">
        <v>24</v>
      </c>
      <c r="B2" s="235"/>
      <c r="C2" s="235"/>
      <c r="D2" s="235"/>
      <c r="E2" s="235"/>
      <c r="F2" s="235"/>
      <c r="G2" s="235"/>
      <c r="H2" s="235"/>
      <c r="I2" s="235"/>
    </row>
    <row r="3" spans="1:9" ht="26.25" customHeight="1">
      <c r="A3" s="230" t="s">
        <v>61</v>
      </c>
      <c r="B3" s="230" t="s">
        <v>81</v>
      </c>
      <c r="C3" s="230" t="s">
        <v>77</v>
      </c>
      <c r="D3" s="283" t="s">
        <v>102</v>
      </c>
      <c r="E3" s="284"/>
      <c r="F3" s="284"/>
      <c r="G3" s="284"/>
      <c r="H3" s="284"/>
      <c r="I3" s="285"/>
    </row>
    <row r="4" spans="1:9" ht="45.75" customHeight="1">
      <c r="A4" s="281"/>
      <c r="B4" s="281"/>
      <c r="C4" s="281"/>
      <c r="D4" s="246" t="s">
        <v>83</v>
      </c>
      <c r="E4" s="246" t="s">
        <v>84</v>
      </c>
      <c r="F4" s="246" t="s">
        <v>89</v>
      </c>
      <c r="G4" s="246" t="s">
        <v>90</v>
      </c>
      <c r="H4" s="246" t="s">
        <v>91</v>
      </c>
      <c r="I4" s="107" t="s">
        <v>299</v>
      </c>
    </row>
    <row r="5" spans="1:9" ht="20.25" customHeight="1">
      <c r="A5" s="282"/>
      <c r="B5" s="282"/>
      <c r="C5" s="282"/>
      <c r="D5" s="247"/>
      <c r="E5" s="247"/>
      <c r="F5" s="247"/>
      <c r="G5" s="247"/>
      <c r="H5" s="247"/>
      <c r="I5" s="48" t="s">
        <v>92</v>
      </c>
    </row>
    <row r="6" spans="1:9" ht="21" customHeight="1">
      <c r="A6" s="236" t="s">
        <v>530</v>
      </c>
      <c r="B6" s="237"/>
      <c r="C6" s="237"/>
      <c r="D6" s="237"/>
      <c r="E6" s="237"/>
      <c r="F6" s="237"/>
      <c r="G6" s="237"/>
      <c r="H6" s="237"/>
      <c r="I6" s="238"/>
    </row>
    <row r="7" spans="1:9" s="119" customFormat="1" ht="15.75">
      <c r="A7" s="118">
        <v>1</v>
      </c>
      <c r="B7" s="142" t="s">
        <v>23</v>
      </c>
      <c r="C7" s="117">
        <v>0</v>
      </c>
      <c r="D7" s="117">
        <v>0</v>
      </c>
      <c r="E7" s="117"/>
      <c r="F7" s="181">
        <v>103383.3</v>
      </c>
      <c r="G7" s="117">
        <f>G11+G10</f>
        <v>83928.5</v>
      </c>
      <c r="H7" s="117">
        <v>0</v>
      </c>
      <c r="I7" s="117">
        <v>0</v>
      </c>
    </row>
    <row r="8" spans="1:9" s="119" customFormat="1" ht="14.25" customHeight="1">
      <c r="A8" s="118"/>
      <c r="B8" s="120" t="s">
        <v>65</v>
      </c>
      <c r="C8" s="117">
        <v>0</v>
      </c>
      <c r="D8" s="117">
        <v>0</v>
      </c>
      <c r="E8" s="117"/>
      <c r="F8" s="117"/>
      <c r="G8" s="117">
        <v>0</v>
      </c>
      <c r="H8" s="117">
        <v>0</v>
      </c>
      <c r="I8" s="117">
        <v>0</v>
      </c>
    </row>
    <row r="9" spans="1:9" s="119" customFormat="1" ht="15.75" customHeight="1">
      <c r="A9" s="118"/>
      <c r="B9" s="120" t="s">
        <v>63</v>
      </c>
      <c r="C9" s="117">
        <v>0</v>
      </c>
      <c r="D9" s="117">
        <v>0</v>
      </c>
      <c r="E9" s="117"/>
      <c r="F9" s="117">
        <v>0</v>
      </c>
      <c r="G9" s="117">
        <v>0</v>
      </c>
      <c r="H9" s="117">
        <v>0</v>
      </c>
      <c r="I9" s="117">
        <v>0</v>
      </c>
    </row>
    <row r="10" spans="1:9" s="119" customFormat="1" ht="16.5" customHeight="1">
      <c r="A10" s="118"/>
      <c r="B10" s="120" t="s">
        <v>64</v>
      </c>
      <c r="C10" s="117">
        <v>0</v>
      </c>
      <c r="D10" s="117">
        <v>0</v>
      </c>
      <c r="E10" s="117"/>
      <c r="F10" s="181">
        <v>102866.4</v>
      </c>
      <c r="G10" s="117">
        <v>83271.8</v>
      </c>
      <c r="H10" s="117">
        <v>0</v>
      </c>
      <c r="I10" s="117">
        <v>0</v>
      </c>
    </row>
    <row r="11" spans="2:9" s="119" customFormat="1" ht="15.75">
      <c r="B11" s="120" t="s">
        <v>529</v>
      </c>
      <c r="C11" s="117">
        <v>0</v>
      </c>
      <c r="D11" s="117">
        <v>0</v>
      </c>
      <c r="E11" s="117"/>
      <c r="F11" s="181">
        <v>516.9</v>
      </c>
      <c r="G11" s="117">
        <v>656.7</v>
      </c>
      <c r="H11" s="117">
        <v>0</v>
      </c>
      <c r="I11" s="117">
        <v>0</v>
      </c>
    </row>
    <row r="12" spans="1:9" s="119" customFormat="1" ht="17.25" customHeight="1">
      <c r="A12" s="118"/>
      <c r="B12" s="120" t="s">
        <v>304</v>
      </c>
      <c r="C12" s="117">
        <v>0</v>
      </c>
      <c r="D12" s="117">
        <v>0</v>
      </c>
      <c r="E12" s="117"/>
      <c r="F12" s="117">
        <v>0</v>
      </c>
      <c r="G12" s="117">
        <v>0</v>
      </c>
      <c r="H12" s="117">
        <v>0</v>
      </c>
      <c r="I12" s="117">
        <v>0</v>
      </c>
    </row>
    <row r="13" spans="1:9" s="119" customFormat="1" ht="15.75">
      <c r="A13" s="118"/>
      <c r="B13" s="142"/>
      <c r="C13" s="117"/>
      <c r="D13" s="117"/>
      <c r="E13" s="117"/>
      <c r="F13" s="117"/>
      <c r="G13" s="117"/>
      <c r="H13" s="117"/>
      <c r="I13" s="117"/>
    </row>
    <row r="14" spans="1:9" s="119" customFormat="1" ht="15.75">
      <c r="A14" s="118"/>
      <c r="B14" s="120"/>
      <c r="C14" s="117"/>
      <c r="E14" s="117"/>
      <c r="F14" s="117"/>
      <c r="G14" s="117"/>
      <c r="H14" s="117"/>
      <c r="I14" s="117"/>
    </row>
    <row r="15" spans="1:9" ht="15.75" customHeight="1">
      <c r="A15" s="49"/>
      <c r="B15" s="51"/>
      <c r="C15" s="50"/>
      <c r="D15" s="50"/>
      <c r="E15" s="50"/>
      <c r="F15" s="50"/>
      <c r="G15" s="50"/>
      <c r="H15" s="50"/>
      <c r="I15" s="98"/>
    </row>
    <row r="16" spans="1:9" ht="14.25" customHeight="1">
      <c r="A16" s="49"/>
      <c r="B16" s="51"/>
      <c r="C16" s="50"/>
      <c r="D16" s="50"/>
      <c r="E16" s="50"/>
      <c r="F16" s="50"/>
      <c r="G16" s="50"/>
      <c r="H16" s="50"/>
      <c r="I16" s="98"/>
    </row>
    <row r="17" spans="1:8" ht="14.25" customHeight="1" hidden="1">
      <c r="A17" s="52"/>
      <c r="B17" s="53"/>
      <c r="C17" s="195" t="s">
        <v>86</v>
      </c>
      <c r="D17" s="54">
        <v>873445.6</v>
      </c>
      <c r="E17" s="54">
        <v>796955.7</v>
      </c>
      <c r="F17" s="54">
        <v>1129979.5</v>
      </c>
      <c r="G17" s="54">
        <v>2680746.2</v>
      </c>
      <c r="H17" s="55"/>
    </row>
    <row r="18" spans="1:8" ht="14.25" customHeight="1" hidden="1">
      <c r="A18" s="52"/>
      <c r="B18" s="53"/>
      <c r="C18" s="195" t="s">
        <v>85</v>
      </c>
      <c r="D18" s="54" t="e">
        <f>D17-#REF!</f>
        <v>#REF!</v>
      </c>
      <c r="E18" s="54" t="e">
        <f>E17-#REF!</f>
        <v>#REF!</v>
      </c>
      <c r="F18" s="54" t="e">
        <f>F17-#REF!</f>
        <v>#REF!</v>
      </c>
      <c r="G18" s="54" t="e">
        <f>G17-#REF!</f>
        <v>#REF!</v>
      </c>
      <c r="H18" s="55"/>
    </row>
    <row r="19" spans="1:9" ht="49.5" customHeight="1">
      <c r="A19" s="42"/>
      <c r="D19" s="44"/>
      <c r="E19" s="44"/>
      <c r="H19" s="239"/>
      <c r="I19" s="239"/>
    </row>
    <row r="20" spans="1:4" ht="15.75">
      <c r="A20" s="56"/>
      <c r="B20" s="32"/>
      <c r="C20" s="33"/>
      <c r="D20" s="33"/>
    </row>
    <row r="21" spans="1:4" ht="15.75">
      <c r="A21" s="33"/>
      <c r="B21" s="32"/>
      <c r="C21" s="33"/>
      <c r="D21" s="33"/>
    </row>
    <row r="22" spans="2:4" ht="15.75">
      <c r="B22" s="32"/>
      <c r="C22" s="33"/>
      <c r="D22" s="33"/>
    </row>
    <row r="23" spans="1:4" ht="15.75">
      <c r="A23" s="33"/>
      <c r="B23" s="32"/>
      <c r="C23" s="33"/>
      <c r="D23" s="33"/>
    </row>
    <row r="24" ht="15.75">
      <c r="B24" s="32"/>
    </row>
    <row r="25" ht="15.75">
      <c r="B25" s="32"/>
    </row>
    <row r="26" ht="15.75">
      <c r="B26" s="32"/>
    </row>
    <row r="27" ht="15.75">
      <c r="B27" s="32"/>
    </row>
    <row r="28" ht="15.75">
      <c r="B28" s="32"/>
    </row>
    <row r="29" ht="15.75">
      <c r="B29" s="32"/>
    </row>
    <row r="30" ht="15.75">
      <c r="B30" s="32"/>
    </row>
    <row r="31" ht="15.75">
      <c r="B31" s="32"/>
    </row>
    <row r="32" ht="15.75">
      <c r="B32" s="32"/>
    </row>
    <row r="33" ht="15.75">
      <c r="B33" s="32"/>
    </row>
    <row r="34" ht="15.75">
      <c r="B34" s="32"/>
    </row>
    <row r="35" ht="15.75">
      <c r="B35" s="32"/>
    </row>
    <row r="36" ht="15.75">
      <c r="B36" s="32"/>
    </row>
    <row r="37" ht="15.75">
      <c r="B37" s="32"/>
    </row>
    <row r="38" ht="15.75">
      <c r="B38" s="32"/>
    </row>
    <row r="39" ht="15.75">
      <c r="B39" s="32"/>
    </row>
    <row r="40" ht="15.75">
      <c r="B40" s="32"/>
    </row>
    <row r="41" ht="15.75">
      <c r="B41" s="32"/>
    </row>
    <row r="42" ht="15.75">
      <c r="B42" s="32"/>
    </row>
    <row r="43" ht="15.75">
      <c r="B43" s="32"/>
    </row>
    <row r="44" ht="15.75">
      <c r="B44" s="32"/>
    </row>
    <row r="45" ht="15.75">
      <c r="B45" s="32"/>
    </row>
  </sheetData>
  <sheetProtection/>
  <autoFilter ref="A5:I5"/>
  <mergeCells count="13">
    <mergeCell ref="H19:I19"/>
    <mergeCell ref="A3:A5"/>
    <mergeCell ref="B3:B5"/>
    <mergeCell ref="C3:C5"/>
    <mergeCell ref="D3:I3"/>
    <mergeCell ref="D4:D5"/>
    <mergeCell ref="E4:E5"/>
    <mergeCell ref="F4:F5"/>
    <mergeCell ref="G4:G5"/>
    <mergeCell ref="H4:H5"/>
    <mergeCell ref="G1:I1"/>
    <mergeCell ref="A2:I2"/>
    <mergeCell ref="A6:I6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="94" zoomScaleSheetLayoutView="94" zoomScalePageLayoutView="0" workbookViewId="0" topLeftCell="A1">
      <selection activeCell="A2" sqref="A2:M2"/>
    </sheetView>
  </sheetViews>
  <sheetFormatPr defaultColWidth="9.00390625" defaultRowHeight="12.75"/>
  <cols>
    <col min="1" max="1" width="18.625" style="1" customWidth="1"/>
    <col min="2" max="2" width="22.125" style="1" customWidth="1"/>
    <col min="3" max="3" width="25.125" style="1" customWidth="1"/>
    <col min="4" max="7" width="9.125" style="1" customWidth="1"/>
    <col min="8" max="12" width="15.375" style="1" customWidth="1"/>
    <col min="13" max="13" width="17.00390625" style="1" customWidth="1"/>
    <col min="14" max="14" width="13.75390625" style="1" bestFit="1" customWidth="1"/>
    <col min="15" max="16384" width="9.125" style="1" customWidth="1"/>
  </cols>
  <sheetData>
    <row r="1" spans="8:13" ht="126" customHeight="1">
      <c r="H1" s="194"/>
      <c r="I1" s="286" t="s">
        <v>237</v>
      </c>
      <c r="J1" s="287"/>
      <c r="K1" s="287"/>
      <c r="L1" s="287"/>
      <c r="M1" s="287"/>
    </row>
    <row r="2" spans="1:13" ht="41.25" customHeight="1">
      <c r="A2" s="291" t="s">
        <v>291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8.75" customHeight="1">
      <c r="A3" s="276" t="s">
        <v>290</v>
      </c>
      <c r="B3" s="276" t="s">
        <v>143</v>
      </c>
      <c r="C3" s="276" t="s">
        <v>144</v>
      </c>
      <c r="D3" s="276" t="s">
        <v>145</v>
      </c>
      <c r="E3" s="276"/>
      <c r="F3" s="276"/>
      <c r="G3" s="276"/>
      <c r="H3" s="276" t="s">
        <v>150</v>
      </c>
      <c r="I3" s="276"/>
      <c r="J3" s="276"/>
      <c r="K3" s="276"/>
      <c r="L3" s="276"/>
      <c r="M3" s="276"/>
    </row>
    <row r="4" spans="1:13" ht="31.5">
      <c r="A4" s="276"/>
      <c r="B4" s="276"/>
      <c r="C4" s="276"/>
      <c r="D4" s="11" t="s">
        <v>146</v>
      </c>
      <c r="E4" s="11" t="s">
        <v>147</v>
      </c>
      <c r="F4" s="11" t="s">
        <v>148</v>
      </c>
      <c r="G4" s="11" t="s">
        <v>149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 t="s">
        <v>151</v>
      </c>
    </row>
    <row r="5" spans="1:16" ht="48" customHeight="1">
      <c r="A5" s="288" t="s">
        <v>10</v>
      </c>
      <c r="B5" s="288" t="s">
        <v>11</v>
      </c>
      <c r="C5" s="85" t="s">
        <v>152</v>
      </c>
      <c r="D5" s="14" t="s">
        <v>153</v>
      </c>
      <c r="E5" s="14" t="s">
        <v>153</v>
      </c>
      <c r="F5" s="14" t="s">
        <v>153</v>
      </c>
      <c r="G5" s="14" t="s">
        <v>153</v>
      </c>
      <c r="H5" s="213">
        <f>H11+H17+H20+H25</f>
        <v>299406.7</v>
      </c>
      <c r="I5" s="213">
        <f>I11+I17+I20+I25</f>
        <v>285304.4</v>
      </c>
      <c r="J5" s="213">
        <f>J11+J17+J20+J25</f>
        <v>235102.4</v>
      </c>
      <c r="K5" s="213">
        <f>K11+K17+K20+K25</f>
        <v>232696.3</v>
      </c>
      <c r="L5" s="213">
        <f>L11+L17+L20+L25</f>
        <v>230645.8</v>
      </c>
      <c r="M5" s="213">
        <f>SUM(H5:L5)</f>
        <v>1283155.6</v>
      </c>
      <c r="N5" s="194">
        <f>N7+N8</f>
        <v>92640.93</v>
      </c>
      <c r="P5" s="1">
        <f>306.6+128.1+72.69+19.1</f>
        <v>526.49</v>
      </c>
    </row>
    <row r="6" spans="1:16" ht="15.75">
      <c r="A6" s="289"/>
      <c r="B6" s="289"/>
      <c r="C6" s="85" t="s">
        <v>154</v>
      </c>
      <c r="D6" s="31"/>
      <c r="E6" s="31"/>
      <c r="F6" s="31"/>
      <c r="G6" s="31"/>
      <c r="H6" s="213"/>
      <c r="I6" s="213"/>
      <c r="J6" s="213"/>
      <c r="K6" s="213"/>
      <c r="L6" s="213"/>
      <c r="M6" s="213">
        <f aca="true" t="shared" si="0" ref="M6:M27">SUM(H6:L6)</f>
        <v>0</v>
      </c>
      <c r="P6" s="194">
        <f>P5-N13</f>
        <v>-6095.83</v>
      </c>
    </row>
    <row r="7" spans="1:15" ht="62.25" customHeight="1">
      <c r="A7" s="289"/>
      <c r="B7" s="289"/>
      <c r="C7" s="11" t="s">
        <v>21</v>
      </c>
      <c r="D7" s="35" t="s">
        <v>534</v>
      </c>
      <c r="E7" s="14" t="s">
        <v>153</v>
      </c>
      <c r="F7" s="14" t="s">
        <v>153</v>
      </c>
      <c r="G7" s="14" t="s">
        <v>153</v>
      </c>
      <c r="H7" s="213">
        <f>H13+H19+H22+H27</f>
        <v>176379.93</v>
      </c>
      <c r="I7" s="213">
        <f>I13+I19+I22+I27</f>
        <v>197980.5</v>
      </c>
      <c r="J7" s="213">
        <f>J13+J19+J22+J27</f>
        <v>232061.6</v>
      </c>
      <c r="K7" s="213">
        <f>K13+K19+K22+K27</f>
        <v>229655.5</v>
      </c>
      <c r="L7" s="213">
        <f>L13+L19+L22+L27</f>
        <v>227605</v>
      </c>
      <c r="M7" s="213">
        <f t="shared" si="0"/>
        <v>1063682.53</v>
      </c>
      <c r="N7" s="150">
        <f>I7-191501.67</f>
        <v>6478.83</v>
      </c>
      <c r="O7" s="150"/>
    </row>
    <row r="8" spans="1:14" ht="62.25" customHeight="1">
      <c r="A8" s="289"/>
      <c r="B8" s="289"/>
      <c r="C8" s="11" t="s">
        <v>537</v>
      </c>
      <c r="D8" s="35" t="s">
        <v>207</v>
      </c>
      <c r="E8" s="14" t="s">
        <v>153</v>
      </c>
      <c r="F8" s="14" t="s">
        <v>153</v>
      </c>
      <c r="G8" s="14" t="s">
        <v>153</v>
      </c>
      <c r="H8" s="213">
        <f>H14+H24</f>
        <v>114330.27</v>
      </c>
      <c r="I8" s="213">
        <f>I14+I24</f>
        <v>87173.9</v>
      </c>
      <c r="J8" s="213">
        <f>J14+J24</f>
        <v>2890.8</v>
      </c>
      <c r="K8" s="213">
        <f>K14+K24</f>
        <v>2890.8</v>
      </c>
      <c r="L8" s="213">
        <f>L14+L24</f>
        <v>2890.8</v>
      </c>
      <c r="M8" s="213">
        <f t="shared" si="0"/>
        <v>210176.57</v>
      </c>
      <c r="N8" s="194">
        <f>N14</f>
        <v>86162.1</v>
      </c>
    </row>
    <row r="9" spans="1:13" ht="62.25" customHeight="1">
      <c r="A9" s="289"/>
      <c r="B9" s="289"/>
      <c r="C9" s="11" t="s">
        <v>558</v>
      </c>
      <c r="D9" s="35" t="s">
        <v>114</v>
      </c>
      <c r="E9" s="14" t="s">
        <v>153</v>
      </c>
      <c r="F9" s="14" t="s">
        <v>153</v>
      </c>
      <c r="G9" s="14" t="s">
        <v>153</v>
      </c>
      <c r="H9" s="213">
        <f>H15+H23</f>
        <v>8696.5</v>
      </c>
      <c r="I9" s="213">
        <f>I15+I23</f>
        <v>150</v>
      </c>
      <c r="J9" s="213">
        <f>J15+J23</f>
        <v>150</v>
      </c>
      <c r="K9" s="213">
        <f>K15+K23</f>
        <v>150</v>
      </c>
      <c r="L9" s="213">
        <f>L15+L23</f>
        <v>150</v>
      </c>
      <c r="M9" s="213">
        <f t="shared" si="0"/>
        <v>9296.5</v>
      </c>
    </row>
    <row r="10" spans="1:13" ht="15.75" customHeight="1">
      <c r="A10" s="289"/>
      <c r="B10" s="289"/>
      <c r="C10" s="11"/>
      <c r="D10" s="86"/>
      <c r="E10" s="14" t="s">
        <v>153</v>
      </c>
      <c r="F10" s="14" t="s">
        <v>153</v>
      </c>
      <c r="G10" s="14" t="s">
        <v>153</v>
      </c>
      <c r="H10" s="213"/>
      <c r="I10" s="213"/>
      <c r="J10" s="213"/>
      <c r="K10" s="213"/>
      <c r="L10" s="213"/>
      <c r="M10" s="213">
        <f t="shared" si="0"/>
        <v>0</v>
      </c>
    </row>
    <row r="11" spans="1:13" ht="47.25">
      <c r="A11" s="290" t="s">
        <v>155</v>
      </c>
      <c r="B11" s="290" t="s">
        <v>25</v>
      </c>
      <c r="C11" s="85" t="s">
        <v>152</v>
      </c>
      <c r="D11" s="14" t="s">
        <v>153</v>
      </c>
      <c r="E11" s="14" t="s">
        <v>153</v>
      </c>
      <c r="F11" s="14" t="s">
        <v>153</v>
      </c>
      <c r="G11" s="14" t="s">
        <v>153</v>
      </c>
      <c r="H11" s="213">
        <f>H13+H14+H15</f>
        <v>287773.78</v>
      </c>
      <c r="I11" s="213">
        <f>I13+I14+I15</f>
        <v>276647.5</v>
      </c>
      <c r="J11" s="213">
        <f>J13+J14+J15</f>
        <v>223921.3</v>
      </c>
      <c r="K11" s="213">
        <f>K13+K14+K15</f>
        <v>221515.2</v>
      </c>
      <c r="L11" s="213">
        <f>L13+L14+L15</f>
        <v>219464.7</v>
      </c>
      <c r="M11" s="213">
        <f t="shared" si="0"/>
        <v>1229322.48</v>
      </c>
    </row>
    <row r="12" spans="1:13" ht="15.75">
      <c r="A12" s="290"/>
      <c r="B12" s="290"/>
      <c r="C12" s="85" t="s">
        <v>154</v>
      </c>
      <c r="D12" s="31"/>
      <c r="E12" s="31"/>
      <c r="F12" s="31"/>
      <c r="G12" s="31"/>
      <c r="H12" s="213"/>
      <c r="I12" s="213"/>
      <c r="J12" s="213"/>
      <c r="K12" s="213"/>
      <c r="L12" s="213"/>
      <c r="M12" s="213">
        <f t="shared" si="0"/>
        <v>0</v>
      </c>
    </row>
    <row r="13" spans="1:14" ht="65.25" customHeight="1">
      <c r="A13" s="290"/>
      <c r="B13" s="290"/>
      <c r="C13" s="11" t="s">
        <v>21</v>
      </c>
      <c r="D13" s="35" t="s">
        <v>534</v>
      </c>
      <c r="E13" s="14" t="s">
        <v>153</v>
      </c>
      <c r="F13" s="14" t="s">
        <v>153</v>
      </c>
      <c r="G13" s="14" t="s">
        <v>153</v>
      </c>
      <c r="H13" s="213">
        <f>'Мероприятия подпрограммы 1'!H115</f>
        <v>169243.41</v>
      </c>
      <c r="I13" s="213">
        <f>'Мероприятия подпрограммы 1'!I115</f>
        <v>190485.4</v>
      </c>
      <c r="J13" s="213">
        <f>'Мероприятия подпрограммы 1'!J115</f>
        <v>223921.3</v>
      </c>
      <c r="K13" s="213">
        <f>'Мероприятия подпрограммы 1'!K115</f>
        <v>221515.2</v>
      </c>
      <c r="L13" s="213">
        <f>'Мероприятия подпрограммы 1'!L115</f>
        <v>219464.7</v>
      </c>
      <c r="M13" s="213">
        <f t="shared" si="0"/>
        <v>1024630.01</v>
      </c>
      <c r="N13" s="150">
        <f>I13-183863.08</f>
        <v>6622.32</v>
      </c>
    </row>
    <row r="14" spans="1:15" ht="65.25" customHeight="1">
      <c r="A14" s="290"/>
      <c r="B14" s="290"/>
      <c r="C14" s="11" t="s">
        <v>537</v>
      </c>
      <c r="D14" s="86" t="s">
        <v>207</v>
      </c>
      <c r="E14" s="14" t="s">
        <v>153</v>
      </c>
      <c r="F14" s="14" t="s">
        <v>153</v>
      </c>
      <c r="G14" s="14" t="s">
        <v>153</v>
      </c>
      <c r="H14" s="213">
        <f>'Мероприятия подпрограммы 1'!H116</f>
        <v>109833.87</v>
      </c>
      <c r="I14" s="213">
        <f>'Мероприятия подпрограммы 1'!I116</f>
        <v>86162.1</v>
      </c>
      <c r="J14" s="213">
        <f>'Мероприятия подпрограммы 1'!J116</f>
        <v>0</v>
      </c>
      <c r="K14" s="213">
        <f>'Мероприятия подпрограммы 1'!K116</f>
        <v>0</v>
      </c>
      <c r="L14" s="213">
        <f>'Мероприятия подпрограммы 1'!L116</f>
        <v>0</v>
      </c>
      <c r="M14" s="213">
        <f t="shared" si="0"/>
        <v>195995.97</v>
      </c>
      <c r="N14" s="194">
        <f>I14-0</f>
        <v>86162.1</v>
      </c>
      <c r="O14" s="1">
        <f>83271.82+656.65</f>
        <v>83928.47</v>
      </c>
    </row>
    <row r="15" spans="1:13" ht="65.25" customHeight="1">
      <c r="A15" s="290"/>
      <c r="B15" s="290"/>
      <c r="C15" s="11" t="s">
        <v>558</v>
      </c>
      <c r="D15" s="14">
        <v>149</v>
      </c>
      <c r="E15" s="14" t="s">
        <v>153</v>
      </c>
      <c r="F15" s="14" t="s">
        <v>153</v>
      </c>
      <c r="G15" s="14" t="s">
        <v>153</v>
      </c>
      <c r="H15" s="213">
        <f>'Мероприятия подпрограммы 1'!H117</f>
        <v>8696.5</v>
      </c>
      <c r="I15" s="213">
        <f>'Мероприятия подпрограммы 1'!I117</f>
        <v>0</v>
      </c>
      <c r="J15" s="213">
        <f>'Мероприятия подпрограммы 1'!J117</f>
        <v>0</v>
      </c>
      <c r="K15" s="213">
        <f>'Мероприятия подпрограммы 1'!K117</f>
        <v>0</v>
      </c>
      <c r="L15" s="213">
        <f>'Мероприятия подпрограммы 1'!L117</f>
        <v>0</v>
      </c>
      <c r="M15" s="213">
        <f t="shared" si="0"/>
        <v>8696.5</v>
      </c>
    </row>
    <row r="16" spans="1:13" ht="17.25" customHeight="1">
      <c r="A16" s="290"/>
      <c r="B16" s="290"/>
      <c r="C16" s="11"/>
      <c r="D16" s="35"/>
      <c r="E16" s="14" t="s">
        <v>153</v>
      </c>
      <c r="F16" s="14" t="s">
        <v>153</v>
      </c>
      <c r="G16" s="14" t="s">
        <v>153</v>
      </c>
      <c r="H16" s="213"/>
      <c r="I16" s="213"/>
      <c r="J16" s="213"/>
      <c r="K16" s="213"/>
      <c r="L16" s="213"/>
      <c r="M16" s="213">
        <f t="shared" si="0"/>
        <v>0</v>
      </c>
    </row>
    <row r="17" spans="1:13" ht="47.25">
      <c r="A17" s="290" t="s">
        <v>159</v>
      </c>
      <c r="B17" s="290" t="s">
        <v>163</v>
      </c>
      <c r="C17" s="85" t="s">
        <v>152</v>
      </c>
      <c r="D17" s="14" t="s">
        <v>153</v>
      </c>
      <c r="E17" s="14" t="s">
        <v>153</v>
      </c>
      <c r="F17" s="14" t="s">
        <v>153</v>
      </c>
      <c r="G17" s="14" t="s">
        <v>153</v>
      </c>
      <c r="H17" s="213">
        <f>H19</f>
        <v>75.1</v>
      </c>
      <c r="I17" s="213">
        <f>I19</f>
        <v>90.5</v>
      </c>
      <c r="J17" s="213">
        <f>J19</f>
        <v>150</v>
      </c>
      <c r="K17" s="213">
        <f>K19</f>
        <v>150</v>
      </c>
      <c r="L17" s="213">
        <f>L19</f>
        <v>150</v>
      </c>
      <c r="M17" s="213">
        <f t="shared" si="0"/>
        <v>615.6</v>
      </c>
    </row>
    <row r="18" spans="1:13" ht="15.75">
      <c r="A18" s="290"/>
      <c r="B18" s="290"/>
      <c r="C18" s="85" t="s">
        <v>154</v>
      </c>
      <c r="D18" s="31"/>
      <c r="E18" s="31"/>
      <c r="F18" s="31"/>
      <c r="G18" s="31"/>
      <c r="H18" s="213"/>
      <c r="I18" s="213"/>
      <c r="J18" s="213"/>
      <c r="K18" s="213"/>
      <c r="L18" s="213"/>
      <c r="M18" s="213">
        <f t="shared" si="0"/>
        <v>0</v>
      </c>
    </row>
    <row r="19" spans="1:13" ht="51.75" customHeight="1">
      <c r="A19" s="290"/>
      <c r="B19" s="290"/>
      <c r="C19" s="11" t="s">
        <v>21</v>
      </c>
      <c r="D19" s="35" t="s">
        <v>534</v>
      </c>
      <c r="E19" s="14" t="s">
        <v>153</v>
      </c>
      <c r="F19" s="14" t="s">
        <v>153</v>
      </c>
      <c r="G19" s="14" t="s">
        <v>153</v>
      </c>
      <c r="H19" s="213">
        <f>'!!!Мероприятия подпрограммы 2'!H27</f>
        <v>75.1</v>
      </c>
      <c r="I19" s="213">
        <f>'!!!Мероприятия подпрограммы 2'!I27</f>
        <v>90.5</v>
      </c>
      <c r="J19" s="213">
        <f>'!!!Мероприятия подпрограммы 2'!J27</f>
        <v>150</v>
      </c>
      <c r="K19" s="213">
        <f>'!!!Мероприятия подпрограммы 2'!K27</f>
        <v>150</v>
      </c>
      <c r="L19" s="213">
        <f>'!!!Мероприятия подпрограммы 2'!L27</f>
        <v>150</v>
      </c>
      <c r="M19" s="213">
        <f t="shared" si="0"/>
        <v>615.6</v>
      </c>
    </row>
    <row r="20" spans="1:13" ht="47.25">
      <c r="A20" s="290" t="s">
        <v>160</v>
      </c>
      <c r="B20" s="290" t="s">
        <v>389</v>
      </c>
      <c r="C20" s="85" t="s">
        <v>152</v>
      </c>
      <c r="D20" s="14" t="s">
        <v>153</v>
      </c>
      <c r="E20" s="14" t="s">
        <v>153</v>
      </c>
      <c r="F20" s="14" t="s">
        <v>153</v>
      </c>
      <c r="G20" s="14" t="s">
        <v>153</v>
      </c>
      <c r="H20" s="213">
        <f>SUM(H22:H24)</f>
        <v>5419.4</v>
      </c>
      <c r="I20" s="213">
        <f>SUM(I22:I24)</f>
        <v>2227</v>
      </c>
      <c r="J20" s="213">
        <f>SUM(J22:J24)</f>
        <v>4122.6</v>
      </c>
      <c r="K20" s="213">
        <f>SUM(K22:K24)</f>
        <v>4122.6</v>
      </c>
      <c r="L20" s="213">
        <f>SUM(L22:L24)</f>
        <v>4122.6</v>
      </c>
      <c r="M20" s="213">
        <f t="shared" si="0"/>
        <v>20014.2</v>
      </c>
    </row>
    <row r="21" spans="1:13" ht="15.75">
      <c r="A21" s="290"/>
      <c r="B21" s="290"/>
      <c r="C21" s="85" t="s">
        <v>154</v>
      </c>
      <c r="D21" s="31"/>
      <c r="E21" s="31"/>
      <c r="F21" s="31"/>
      <c r="G21" s="31"/>
      <c r="H21" s="213"/>
      <c r="I21" s="213"/>
      <c r="J21" s="213"/>
      <c r="K21" s="213"/>
      <c r="L21" s="213"/>
      <c r="M21" s="213">
        <f t="shared" si="0"/>
        <v>0</v>
      </c>
    </row>
    <row r="22" spans="1:13" ht="64.5" customHeight="1">
      <c r="A22" s="290"/>
      <c r="B22" s="290"/>
      <c r="C22" s="11" t="s">
        <v>21</v>
      </c>
      <c r="D22" s="14">
        <v>137</v>
      </c>
      <c r="E22" s="14" t="s">
        <v>153</v>
      </c>
      <c r="F22" s="14" t="s">
        <v>153</v>
      </c>
      <c r="G22" s="14" t="s">
        <v>153</v>
      </c>
      <c r="H22" s="213">
        <f>'!!!Мероприятия подпрограммы 3'!H31+'!!!Мероприятия подпрограммы 3'!H30+'!!!Мероприятия подпрограммы 3'!H29+'!!!Мероприятия подпрограммы 3'!H10+'!!!Мероприятия подпрограммы 3'!H9+'!!!Мероприятия подпрограммы 3'!H8+'!!!Мероприятия подпрограммы 3'!H7</f>
        <v>923</v>
      </c>
      <c r="I22" s="213">
        <f>'!!!Мероприятия подпрограммы 3'!I31+'!!!Мероприятия подпрограммы 3'!I30+'!!!Мероприятия подпрограммы 3'!I29+'!!!Мероприятия подпрограммы 3'!I10+'!!!Мероприятия подпрограммы 3'!I9+'!!!Мероприятия подпрограммы 3'!I8+'!!!Мероприятия подпрограммы 3'!I7</f>
        <v>1065.2</v>
      </c>
      <c r="J22" s="213">
        <f>'!!!Мероприятия подпрограммы 3'!J31+'!!!Мероприятия подпрограммы 3'!J30+'!!!Мероприятия подпрограммы 3'!J29+'!!!Мероприятия подпрограммы 3'!J10+'!!!Мероприятия подпрограммы 3'!J9+'!!!Мероприятия подпрограммы 3'!J8+'!!!Мероприятия подпрограммы 3'!J7</f>
        <v>1081.8</v>
      </c>
      <c r="K22" s="213">
        <f>'!!!Мероприятия подпрограммы 3'!K31+'!!!Мероприятия подпрограммы 3'!K30+'!!!Мероприятия подпрограммы 3'!K29+'!!!Мероприятия подпрограммы 3'!K10+'!!!Мероприятия подпрограммы 3'!K9+'!!!Мероприятия подпрограммы 3'!K8+'!!!Мероприятия подпрограммы 3'!K7</f>
        <v>1081.8</v>
      </c>
      <c r="L22" s="213">
        <f>'!!!Мероприятия подпрограммы 3'!L31+'!!!Мероприятия подпрограммы 3'!L30+'!!!Мероприятия подпрограммы 3'!L29+'!!!Мероприятия подпрограммы 3'!L10+'!!!Мероприятия подпрограммы 3'!L9+'!!!Мероприятия подпрограммы 3'!L8+'!!!Мероприятия подпрограммы 3'!L7</f>
        <v>1081.8</v>
      </c>
      <c r="M22" s="213">
        <f t="shared" si="0"/>
        <v>5233.6</v>
      </c>
    </row>
    <row r="23" spans="1:13" ht="64.5" customHeight="1">
      <c r="A23" s="290"/>
      <c r="B23" s="290"/>
      <c r="C23" s="11" t="s">
        <v>558</v>
      </c>
      <c r="D23" s="14">
        <v>149</v>
      </c>
      <c r="E23" s="14" t="s">
        <v>153</v>
      </c>
      <c r="F23" s="14" t="s">
        <v>153</v>
      </c>
      <c r="G23" s="14" t="s">
        <v>153</v>
      </c>
      <c r="H23" s="213">
        <f>'!!!Мероприятия подпрограммы 3'!H19</f>
        <v>0</v>
      </c>
      <c r="I23" s="213">
        <f>'!!!Мероприятия подпрограммы 3'!I19</f>
        <v>150</v>
      </c>
      <c r="J23" s="213">
        <f>'!!!Мероприятия подпрограммы 3'!J19</f>
        <v>150</v>
      </c>
      <c r="K23" s="213">
        <f>'!!!Мероприятия подпрограммы 3'!K19</f>
        <v>150</v>
      </c>
      <c r="L23" s="213">
        <f>'!!!Мероприятия подпрограммы 3'!L19</f>
        <v>150</v>
      </c>
      <c r="M23" s="213">
        <f t="shared" si="0"/>
        <v>600</v>
      </c>
    </row>
    <row r="24" spans="1:13" ht="64.5" customHeight="1">
      <c r="A24" s="290"/>
      <c r="B24" s="290"/>
      <c r="C24" s="11" t="s">
        <v>537</v>
      </c>
      <c r="D24" s="35" t="s">
        <v>207</v>
      </c>
      <c r="E24" s="14" t="s">
        <v>153</v>
      </c>
      <c r="F24" s="14" t="s">
        <v>153</v>
      </c>
      <c r="G24" s="14" t="s">
        <v>153</v>
      </c>
      <c r="H24" s="213">
        <f>'!!!Мероприятия подпрограммы 3'!H28+'!!!Мероприятия подпрограммы 3'!H25+'!!!Мероприятия подпрограммы 3'!H24+'!!!Мероприятия подпрограммы 3'!H23+'!!!Мероприятия подпрограммы 3'!H20+'!!!Мероприятия подпрограммы 3'!H16+'!!!Мероприятия подпрограммы 3'!H15+'!!!Мероприятия подпрограммы 3'!H14+'!!!Мероприятия подпрограммы 3'!H11</f>
        <v>4496.4</v>
      </c>
      <c r="I24" s="213">
        <f>'!!!Мероприятия подпрограммы 3'!I28+'!!!Мероприятия подпрограммы 3'!I25+'!!!Мероприятия подпрограммы 3'!I24+'!!!Мероприятия подпрограммы 3'!I23+'!!!Мероприятия подпрограммы 3'!I20+'!!!Мероприятия подпрограммы 3'!I16+'!!!Мероприятия подпрограммы 3'!I15+'!!!Мероприятия подпрограммы 3'!I14+'!!!Мероприятия подпрограммы 3'!I11</f>
        <v>1011.8</v>
      </c>
      <c r="J24" s="213">
        <f>'!!!Мероприятия подпрограммы 3'!J28+'!!!Мероприятия подпрограммы 3'!J25+'!!!Мероприятия подпрограммы 3'!J24+'!!!Мероприятия подпрограммы 3'!J23+'!!!Мероприятия подпрограммы 3'!J20+'!!!Мероприятия подпрограммы 3'!J16+'!!!Мероприятия подпрограммы 3'!J15+'!!!Мероприятия подпрограммы 3'!J14+'!!!Мероприятия подпрограммы 3'!J11</f>
        <v>2890.8</v>
      </c>
      <c r="K24" s="213">
        <f>'!!!Мероприятия подпрограммы 3'!K28+'!!!Мероприятия подпрограммы 3'!K25+'!!!Мероприятия подпрограммы 3'!K24+'!!!Мероприятия подпрограммы 3'!K23+'!!!Мероприятия подпрограммы 3'!K20+'!!!Мероприятия подпрограммы 3'!K16+'!!!Мероприятия подпрограммы 3'!K15+'!!!Мероприятия подпрограммы 3'!K14+'!!!Мероприятия подпрограммы 3'!K11</f>
        <v>2890.8</v>
      </c>
      <c r="L24" s="213">
        <f>'!!!Мероприятия подпрограммы 3'!L28+'!!!Мероприятия подпрограммы 3'!L25+'!!!Мероприятия подпрограммы 3'!L24+'!!!Мероприятия подпрограммы 3'!L23+'!!!Мероприятия подпрограммы 3'!L20+'!!!Мероприятия подпрограммы 3'!L16+'!!!Мероприятия подпрограммы 3'!L15+'!!!Мероприятия подпрограммы 3'!L14+'!!!Мероприятия подпрограммы 3'!L11</f>
        <v>2890.8</v>
      </c>
      <c r="M24" s="213">
        <f t="shared" si="0"/>
        <v>14180.6</v>
      </c>
    </row>
    <row r="25" spans="1:13" ht="47.25">
      <c r="A25" s="290" t="s">
        <v>161</v>
      </c>
      <c r="B25" s="290" t="s">
        <v>318</v>
      </c>
      <c r="C25" s="85" t="s">
        <v>152</v>
      </c>
      <c r="D25" s="14" t="s">
        <v>153</v>
      </c>
      <c r="E25" s="14" t="s">
        <v>153</v>
      </c>
      <c r="F25" s="14" t="s">
        <v>153</v>
      </c>
      <c r="G25" s="14" t="s">
        <v>153</v>
      </c>
      <c r="H25" s="213">
        <f>'!!!Мероприятия подпрограммы 4'!H19</f>
        <v>6138.42</v>
      </c>
      <c r="I25" s="213">
        <f>'!!!Мероприятия подпрограммы 4'!I19</f>
        <v>6339.4</v>
      </c>
      <c r="J25" s="213">
        <f>'!!!Мероприятия подпрограммы 4'!J19</f>
        <v>6908.5</v>
      </c>
      <c r="K25" s="213">
        <f>'!!!Мероприятия подпрограммы 4'!K19</f>
        <v>6908.5</v>
      </c>
      <c r="L25" s="213">
        <f>'!!!Мероприятия подпрограммы 4'!L19</f>
        <v>6908.5</v>
      </c>
      <c r="M25" s="213">
        <f t="shared" si="0"/>
        <v>33203.32</v>
      </c>
    </row>
    <row r="26" spans="1:13" ht="15.75">
      <c r="A26" s="290"/>
      <c r="B26" s="290"/>
      <c r="C26" s="85" t="s">
        <v>154</v>
      </c>
      <c r="D26" s="31"/>
      <c r="E26" s="31"/>
      <c r="F26" s="31"/>
      <c r="G26" s="31"/>
      <c r="H26" s="213"/>
      <c r="I26" s="213"/>
      <c r="J26" s="213"/>
      <c r="K26" s="213"/>
      <c r="L26" s="213"/>
      <c r="M26" s="213">
        <f t="shared" si="0"/>
        <v>0</v>
      </c>
    </row>
    <row r="27" spans="1:14" ht="56.25" customHeight="1">
      <c r="A27" s="290"/>
      <c r="B27" s="290"/>
      <c r="C27" s="11" t="s">
        <v>541</v>
      </c>
      <c r="D27" s="35" t="s">
        <v>534</v>
      </c>
      <c r="E27" s="14" t="s">
        <v>153</v>
      </c>
      <c r="F27" s="14" t="s">
        <v>153</v>
      </c>
      <c r="G27" s="14" t="s">
        <v>153</v>
      </c>
      <c r="H27" s="213">
        <f>'!!!Мероприятия подпрограммы 4'!H19</f>
        <v>6138.42</v>
      </c>
      <c r="I27" s="213">
        <f>'!!!Мероприятия подпрограммы 4'!I19</f>
        <v>6339.4</v>
      </c>
      <c r="J27" s="213">
        <f>'!!!Мероприятия подпрограммы 4'!J19</f>
        <v>6908.5</v>
      </c>
      <c r="K27" s="213">
        <f>'!!!Мероприятия подпрограммы 4'!K19</f>
        <v>6908.5</v>
      </c>
      <c r="L27" s="213">
        <f>'!!!Мероприятия подпрограммы 4'!L19</f>
        <v>6908.5</v>
      </c>
      <c r="M27" s="213">
        <f t="shared" si="0"/>
        <v>33203.32</v>
      </c>
      <c r="N27" s="194">
        <f>I27-6442.99</f>
        <v>-103.59</v>
      </c>
    </row>
    <row r="29" ht="18.75" customHeight="1"/>
  </sheetData>
  <sheetProtection/>
  <mergeCells count="17">
    <mergeCell ref="A17:A19"/>
    <mergeCell ref="A3:A4"/>
    <mergeCell ref="A2:M2"/>
    <mergeCell ref="D3:G3"/>
    <mergeCell ref="H3:M3"/>
    <mergeCell ref="C3:C4"/>
    <mergeCell ref="B3:B4"/>
    <mergeCell ref="B17:B19"/>
    <mergeCell ref="A20:A24"/>
    <mergeCell ref="B20:B24"/>
    <mergeCell ref="A25:A27"/>
    <mergeCell ref="B25:B27"/>
    <mergeCell ref="I1:M1"/>
    <mergeCell ref="A5:A10"/>
    <mergeCell ref="B5:B10"/>
    <mergeCell ref="A11:A16"/>
    <mergeCell ref="B11:B16"/>
  </mergeCells>
  <printOptions/>
  <pageMargins left="0.5118110236220472" right="0.11811023622047245" top="0.5511811023622047" bottom="0.35433070866141736" header="0.31496062992125984" footer="0.31496062992125984"/>
  <pageSetup fitToHeight="2" fitToWidth="1" horizontalDpi="600" verticalDpi="600" orientation="landscape" paperSize="9" scale="73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5.00390625" style="8" customWidth="1"/>
    <col min="2" max="2" width="38.00390625" style="8" customWidth="1"/>
    <col min="3" max="6" width="11.125" style="8" customWidth="1"/>
    <col min="7" max="7" width="10.25390625" style="8" customWidth="1"/>
    <col min="8" max="8" width="31.00390625" style="8" customWidth="1"/>
    <col min="9" max="16384" width="9.125" style="8" customWidth="1"/>
  </cols>
  <sheetData>
    <row r="1" spans="8:13" ht="94.5" customHeight="1">
      <c r="H1" s="79" t="s">
        <v>80</v>
      </c>
      <c r="J1" s="79"/>
      <c r="K1" s="79"/>
      <c r="L1" s="79"/>
      <c r="M1" s="79"/>
    </row>
    <row r="2" spans="1:8" ht="46.5" customHeight="1">
      <c r="A2" s="292" t="s">
        <v>305</v>
      </c>
      <c r="B2" s="292"/>
      <c r="C2" s="292"/>
      <c r="D2" s="292"/>
      <c r="E2" s="292"/>
      <c r="F2" s="292"/>
      <c r="G2" s="292"/>
      <c r="H2" s="292"/>
    </row>
    <row r="3" spans="1:8" ht="37.5" customHeight="1">
      <c r="A3" s="10" t="s">
        <v>61</v>
      </c>
      <c r="B3" s="10" t="s">
        <v>306</v>
      </c>
      <c r="C3" s="100" t="s">
        <v>83</v>
      </c>
      <c r="D3" s="100" t="s">
        <v>84</v>
      </c>
      <c r="E3" s="100" t="s">
        <v>89</v>
      </c>
      <c r="F3" s="100" t="s">
        <v>90</v>
      </c>
      <c r="G3" s="100" t="s">
        <v>91</v>
      </c>
      <c r="H3" s="10" t="s">
        <v>307</v>
      </c>
    </row>
    <row r="4" spans="1:8" ht="18" customHeight="1">
      <c r="A4" s="99"/>
      <c r="B4" s="97"/>
      <c r="C4" s="97"/>
      <c r="D4" s="97"/>
      <c r="E4" s="97"/>
      <c r="F4" s="97"/>
      <c r="G4" s="99"/>
      <c r="H4" s="99"/>
    </row>
    <row r="5" spans="1:8" ht="15.75">
      <c r="A5" s="77"/>
      <c r="B5" s="77"/>
      <c r="C5" s="77"/>
      <c r="D5" s="77"/>
      <c r="E5" s="77"/>
      <c r="F5" s="77"/>
      <c r="G5" s="77"/>
      <c r="H5" s="77"/>
    </row>
    <row r="6" spans="1:8" ht="15.75">
      <c r="A6" s="77"/>
      <c r="B6" s="77"/>
      <c r="C6" s="77"/>
      <c r="D6" s="77"/>
      <c r="E6" s="77"/>
      <c r="F6" s="77"/>
      <c r="G6" s="77"/>
      <c r="H6" s="77"/>
    </row>
    <row r="7" spans="1:8" ht="15.75">
      <c r="A7" s="77"/>
      <c r="B7" s="77"/>
      <c r="C7" s="77"/>
      <c r="D7" s="77"/>
      <c r="E7" s="77"/>
      <c r="F7" s="77"/>
      <c r="G7" s="77"/>
      <c r="H7" s="77"/>
    </row>
    <row r="8" spans="1:8" ht="15.75">
      <c r="A8" s="77"/>
      <c r="B8" s="77"/>
      <c r="C8" s="77"/>
      <c r="D8" s="77"/>
      <c r="E8" s="77"/>
      <c r="F8" s="77"/>
      <c r="G8" s="77"/>
      <c r="H8" s="77"/>
    </row>
  </sheetData>
  <sheetProtection/>
  <mergeCells count="1">
    <mergeCell ref="A2:H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145"/>
  <sheetViews>
    <sheetView view="pageBreakPreview" zoomScale="96" zoomScaleSheetLayoutView="96" zoomScalePageLayoutView="0" workbookViewId="0" topLeftCell="A1">
      <selection activeCell="A2" sqref="A2:I2"/>
    </sheetView>
  </sheetViews>
  <sheetFormatPr defaultColWidth="9.00390625" defaultRowHeight="12.75"/>
  <cols>
    <col min="1" max="1" width="18.375" style="21" customWidth="1"/>
    <col min="2" max="2" width="29.625" style="21" customWidth="1"/>
    <col min="3" max="3" width="36.875" style="21" customWidth="1"/>
    <col min="4" max="9" width="16.00390625" style="21" customWidth="1"/>
    <col min="10" max="10" width="10.875" style="21" bestFit="1" customWidth="1"/>
    <col min="11" max="16384" width="9.125" style="21" customWidth="1"/>
  </cols>
  <sheetData>
    <row r="1" spans="3:9" ht="101.25" customHeight="1">
      <c r="C1" s="1"/>
      <c r="E1" s="286" t="s">
        <v>236</v>
      </c>
      <c r="F1" s="286"/>
      <c r="G1" s="286"/>
      <c r="H1" s="286"/>
      <c r="I1" s="286"/>
    </row>
    <row r="2" spans="1:9" ht="55.5" customHeight="1">
      <c r="A2" s="291" t="s">
        <v>524</v>
      </c>
      <c r="B2" s="291"/>
      <c r="C2" s="291"/>
      <c r="D2" s="291"/>
      <c r="E2" s="291"/>
      <c r="F2" s="291"/>
      <c r="G2" s="291"/>
      <c r="H2" s="291"/>
      <c r="I2" s="291"/>
    </row>
    <row r="3" spans="1:9" ht="33.75" customHeight="1">
      <c r="A3" s="276" t="s">
        <v>140</v>
      </c>
      <c r="B3" s="276" t="s">
        <v>14</v>
      </c>
      <c r="C3" s="246" t="s">
        <v>308</v>
      </c>
      <c r="D3" s="276" t="s">
        <v>142</v>
      </c>
      <c r="E3" s="276"/>
      <c r="F3" s="276"/>
      <c r="G3" s="276"/>
      <c r="H3" s="276"/>
      <c r="I3" s="276"/>
    </row>
    <row r="4" spans="1:9" ht="36" customHeight="1">
      <c r="A4" s="276"/>
      <c r="B4" s="276"/>
      <c r="C4" s="294"/>
      <c r="D4" s="183" t="s">
        <v>89</v>
      </c>
      <c r="E4" s="183" t="s">
        <v>90</v>
      </c>
      <c r="F4" s="183" t="s">
        <v>91</v>
      </c>
      <c r="G4" s="183" t="s">
        <v>92</v>
      </c>
      <c r="H4" s="183" t="s">
        <v>93</v>
      </c>
      <c r="I4" s="183" t="s">
        <v>151</v>
      </c>
    </row>
    <row r="5" spans="1:10" ht="15.75">
      <c r="A5" s="276" t="s">
        <v>12</v>
      </c>
      <c r="B5" s="276" t="s">
        <v>13</v>
      </c>
      <c r="C5" s="19" t="s">
        <v>62</v>
      </c>
      <c r="D5" s="225">
        <f>D8+D10+D7</f>
        <v>299406.7</v>
      </c>
      <c r="E5" s="225">
        <f>E8+E10+E7</f>
        <v>285304.4</v>
      </c>
      <c r="F5" s="225">
        <f>F8+F10+F7</f>
        <v>235102.4</v>
      </c>
      <c r="G5" s="225">
        <f>G8+G10+G7</f>
        <v>232696.3</v>
      </c>
      <c r="H5" s="225">
        <f>H8+H10+H7</f>
        <v>230645.8</v>
      </c>
      <c r="I5" s="225">
        <f aca="true" t="shared" si="0" ref="I5:I37">SUM(D5:H5)</f>
        <v>1283155.6</v>
      </c>
      <c r="J5" s="21" t="b">
        <f>I5='Распределение расходов'!M5</f>
        <v>1</v>
      </c>
    </row>
    <row r="6" spans="1:9" ht="15.75">
      <c r="A6" s="276"/>
      <c r="B6" s="276"/>
      <c r="C6" s="155" t="s">
        <v>65</v>
      </c>
      <c r="D6" s="213"/>
      <c r="E6" s="213"/>
      <c r="F6" s="226"/>
      <c r="G6" s="226"/>
      <c r="H6" s="226"/>
      <c r="I6" s="225">
        <f t="shared" si="0"/>
        <v>0</v>
      </c>
    </row>
    <row r="7" spans="1:9" ht="15.75" customHeight="1">
      <c r="A7" s="276"/>
      <c r="B7" s="276"/>
      <c r="C7" s="156" t="s">
        <v>82</v>
      </c>
      <c r="D7" s="225">
        <f>D28+D14</f>
        <v>3420.9</v>
      </c>
      <c r="E7" s="225">
        <f>E28+E14</f>
        <v>994.7</v>
      </c>
      <c r="F7" s="225">
        <f>F28+F14</f>
        <v>823.1</v>
      </c>
      <c r="G7" s="225">
        <f>G28+G14</f>
        <v>813</v>
      </c>
      <c r="H7" s="225">
        <f>H28+H14</f>
        <v>0</v>
      </c>
      <c r="I7" s="225">
        <f t="shared" si="0"/>
        <v>6051.7</v>
      </c>
    </row>
    <row r="8" spans="1:9" ht="15.75">
      <c r="A8" s="276"/>
      <c r="B8" s="276"/>
      <c r="C8" s="156" t="s">
        <v>64</v>
      </c>
      <c r="D8" s="225">
        <f>D15+D22+D29+D36</f>
        <v>225197.15</v>
      </c>
      <c r="E8" s="225">
        <f>E15+E22+E29+E36</f>
        <v>202409.6</v>
      </c>
      <c r="F8" s="225">
        <f>F15+F22+F29+F36</f>
        <v>139311.2</v>
      </c>
      <c r="G8" s="225">
        <f>G15+G22+G29+G36</f>
        <v>138966</v>
      </c>
      <c r="H8" s="225">
        <f>H15+H22+H29+H36</f>
        <v>139779</v>
      </c>
      <c r="I8" s="225">
        <f t="shared" si="0"/>
        <v>845662.95</v>
      </c>
    </row>
    <row r="9" spans="1:9" ht="15" customHeight="1">
      <c r="A9" s="276"/>
      <c r="B9" s="276"/>
      <c r="C9" s="156" t="s">
        <v>267</v>
      </c>
      <c r="D9" s="225"/>
      <c r="E9" s="225"/>
      <c r="F9" s="225"/>
      <c r="G9" s="225"/>
      <c r="H9" s="225"/>
      <c r="I9" s="225">
        <f t="shared" si="0"/>
        <v>0</v>
      </c>
    </row>
    <row r="10" spans="1:9" ht="15.75">
      <c r="A10" s="276"/>
      <c r="B10" s="276"/>
      <c r="C10" s="156" t="s">
        <v>519</v>
      </c>
      <c r="D10" s="225">
        <f>D24+D31+D38+D17</f>
        <v>70788.65</v>
      </c>
      <c r="E10" s="225">
        <f>E24+E31+E38+E17</f>
        <v>81900.1</v>
      </c>
      <c r="F10" s="225">
        <f>F24+F31+F38+F17</f>
        <v>94968.1</v>
      </c>
      <c r="G10" s="225">
        <f>G24+G31+G38+G17</f>
        <v>92917.3</v>
      </c>
      <c r="H10" s="225">
        <f>H24+H31+H38+H17</f>
        <v>90866.8</v>
      </c>
      <c r="I10" s="225">
        <f t="shared" si="0"/>
        <v>431440.95</v>
      </c>
    </row>
    <row r="11" spans="1:9" ht="15.75">
      <c r="A11" s="276"/>
      <c r="B11" s="276"/>
      <c r="C11" s="156" t="s">
        <v>141</v>
      </c>
      <c r="D11" s="225"/>
      <c r="E11" s="225"/>
      <c r="F11" s="225"/>
      <c r="G11" s="225"/>
      <c r="H11" s="225"/>
      <c r="I11" s="225">
        <f t="shared" si="0"/>
        <v>0</v>
      </c>
    </row>
    <row r="12" spans="1:9" ht="15.75">
      <c r="A12" s="276" t="s">
        <v>162</v>
      </c>
      <c r="B12" s="276" t="s">
        <v>15</v>
      </c>
      <c r="C12" s="19" t="s">
        <v>62</v>
      </c>
      <c r="D12" s="225">
        <f>SUM(D13:D17)</f>
        <v>287773.78</v>
      </c>
      <c r="E12" s="225">
        <f>SUM(E13:E17)</f>
        <v>276647.5</v>
      </c>
      <c r="F12" s="225">
        <f>SUM(F13:F17)</f>
        <v>223921.3</v>
      </c>
      <c r="G12" s="225">
        <f>SUM(G13:G17)</f>
        <v>221515.2</v>
      </c>
      <c r="H12" s="225">
        <f>SUM(H13:H17)</f>
        <v>219464.7</v>
      </c>
      <c r="I12" s="225">
        <f t="shared" si="0"/>
        <v>1229322.48</v>
      </c>
    </row>
    <row r="13" spans="1:9" ht="15.75">
      <c r="A13" s="276"/>
      <c r="B13" s="276"/>
      <c r="C13" s="155" t="s">
        <v>65</v>
      </c>
      <c r="D13" s="226"/>
      <c r="E13" s="226"/>
      <c r="F13" s="226"/>
      <c r="G13" s="226"/>
      <c r="H13" s="226"/>
      <c r="I13" s="225">
        <f t="shared" si="0"/>
        <v>0</v>
      </c>
    </row>
    <row r="14" spans="1:9" ht="15.75">
      <c r="A14" s="276"/>
      <c r="B14" s="276"/>
      <c r="C14" s="156" t="s">
        <v>82</v>
      </c>
      <c r="D14" s="225">
        <f>'Мероприятия подпрограммы 1'!H109</f>
        <v>2641.9</v>
      </c>
      <c r="E14" s="225">
        <f>'Мероприятия подпрограммы 1'!I109</f>
        <v>694</v>
      </c>
      <c r="F14" s="225">
        <f>'Мероприятия подпрограммы 1'!J109</f>
        <v>0</v>
      </c>
      <c r="G14" s="225">
        <f>'Мероприятия подпрограммы 1'!K109</f>
        <v>0</v>
      </c>
      <c r="H14" s="225">
        <f>'Мероприятия подпрограммы 1'!L109</f>
        <v>0</v>
      </c>
      <c r="I14" s="225">
        <f t="shared" si="0"/>
        <v>3335.9</v>
      </c>
    </row>
    <row r="15" spans="1:9" ht="15.75">
      <c r="A15" s="276"/>
      <c r="B15" s="276"/>
      <c r="C15" s="156" t="s">
        <v>64</v>
      </c>
      <c r="D15" s="225">
        <f>'Мероприятия подпрограммы 1'!H110</f>
        <v>220706.75</v>
      </c>
      <c r="E15" s="225">
        <f>'Мероприятия подпрограммы 1'!I110</f>
        <v>200633.3</v>
      </c>
      <c r="F15" s="225">
        <f>'Мероприятия подпрограммы 1'!J110</f>
        <v>136161.7</v>
      </c>
      <c r="G15" s="225">
        <f>'Мероприятия подпрограммы 1'!K110</f>
        <v>135806.4</v>
      </c>
      <c r="H15" s="225">
        <f>'Мероприятия подпрограммы 1'!L110</f>
        <v>135806.4</v>
      </c>
      <c r="I15" s="225">
        <f t="shared" si="0"/>
        <v>829114.55</v>
      </c>
    </row>
    <row r="16" spans="1:9" ht="15.75">
      <c r="A16" s="276"/>
      <c r="B16" s="276"/>
      <c r="C16" s="157" t="s">
        <v>268</v>
      </c>
      <c r="D16" s="225"/>
      <c r="E16" s="225"/>
      <c r="F16" s="225"/>
      <c r="G16" s="225"/>
      <c r="H16" s="225"/>
      <c r="I16" s="225">
        <f t="shared" si="0"/>
        <v>0</v>
      </c>
    </row>
    <row r="17" spans="1:9" ht="15.75">
      <c r="A17" s="276"/>
      <c r="B17" s="276"/>
      <c r="C17" s="156" t="s">
        <v>519</v>
      </c>
      <c r="D17" s="225">
        <f>'Мероприятия подпрограммы 1'!H111</f>
        <v>64425.13</v>
      </c>
      <c r="E17" s="225">
        <f>'Мероприятия подпрограммы 1'!I111</f>
        <v>75320.2</v>
      </c>
      <c r="F17" s="225">
        <f>'Мероприятия подпрограммы 1'!J111</f>
        <v>87759.6</v>
      </c>
      <c r="G17" s="225">
        <f>'Мероприятия подпрограммы 1'!K111</f>
        <v>85708.8</v>
      </c>
      <c r="H17" s="225">
        <f>'Мероприятия подпрограммы 1'!L111</f>
        <v>83658.3</v>
      </c>
      <c r="I17" s="225">
        <f t="shared" si="0"/>
        <v>396872.03</v>
      </c>
    </row>
    <row r="18" spans="1:9" ht="15.75">
      <c r="A18" s="276"/>
      <c r="B18" s="276"/>
      <c r="C18" s="156" t="s">
        <v>141</v>
      </c>
      <c r="D18" s="225"/>
      <c r="E18" s="225"/>
      <c r="F18" s="226"/>
      <c r="G18" s="226"/>
      <c r="H18" s="226"/>
      <c r="I18" s="225">
        <f t="shared" si="0"/>
        <v>0</v>
      </c>
    </row>
    <row r="19" spans="1:9" ht="15.75">
      <c r="A19" s="276" t="s">
        <v>159</v>
      </c>
      <c r="B19" s="276" t="s">
        <v>163</v>
      </c>
      <c r="C19" s="19" t="s">
        <v>62</v>
      </c>
      <c r="D19" s="225">
        <f>SUM(D20:D25)</f>
        <v>75.1</v>
      </c>
      <c r="E19" s="225">
        <f>SUM(E20:E25)</f>
        <v>90.5</v>
      </c>
      <c r="F19" s="225">
        <f>SUM(F20:F25)</f>
        <v>150</v>
      </c>
      <c r="G19" s="225">
        <f>SUM(G20:G25)</f>
        <v>150</v>
      </c>
      <c r="H19" s="225">
        <f>SUM(H20:H25)</f>
        <v>150</v>
      </c>
      <c r="I19" s="225">
        <f t="shared" si="0"/>
        <v>615.6</v>
      </c>
    </row>
    <row r="20" spans="1:9" ht="15.75">
      <c r="A20" s="276"/>
      <c r="B20" s="276"/>
      <c r="C20" s="155" t="s">
        <v>65</v>
      </c>
      <c r="D20" s="225"/>
      <c r="E20" s="225"/>
      <c r="F20" s="226"/>
      <c r="G20" s="226"/>
      <c r="H20" s="226"/>
      <c r="I20" s="225">
        <f t="shared" si="0"/>
        <v>0</v>
      </c>
    </row>
    <row r="21" spans="1:9" ht="15.75">
      <c r="A21" s="276"/>
      <c r="B21" s="276"/>
      <c r="C21" s="156" t="s">
        <v>82</v>
      </c>
      <c r="D21" s="225"/>
      <c r="E21" s="225"/>
      <c r="F21" s="226"/>
      <c r="G21" s="226"/>
      <c r="H21" s="226"/>
      <c r="I21" s="225">
        <f t="shared" si="0"/>
        <v>0</v>
      </c>
    </row>
    <row r="22" spans="1:9" ht="15.75">
      <c r="A22" s="276"/>
      <c r="B22" s="276"/>
      <c r="C22" s="156" t="s">
        <v>64</v>
      </c>
      <c r="D22" s="225"/>
      <c r="E22" s="225"/>
      <c r="F22" s="225"/>
      <c r="G22" s="225"/>
      <c r="H22" s="225"/>
      <c r="I22" s="225">
        <f t="shared" si="0"/>
        <v>0</v>
      </c>
    </row>
    <row r="23" spans="1:9" ht="15.75">
      <c r="A23" s="276"/>
      <c r="B23" s="276"/>
      <c r="C23" s="156" t="s">
        <v>304</v>
      </c>
      <c r="D23" s="225"/>
      <c r="E23" s="225"/>
      <c r="F23" s="226"/>
      <c r="G23" s="226"/>
      <c r="H23" s="226"/>
      <c r="I23" s="225">
        <f t="shared" si="0"/>
        <v>0</v>
      </c>
    </row>
    <row r="24" spans="1:9" ht="15.75">
      <c r="A24" s="276"/>
      <c r="B24" s="276"/>
      <c r="C24" s="156" t="s">
        <v>519</v>
      </c>
      <c r="D24" s="225">
        <f>'!!!Мероприятия подпрограммы 2'!H27</f>
        <v>75.1</v>
      </c>
      <c r="E24" s="225">
        <f>'!!!Мероприятия подпрограммы 2'!I27</f>
        <v>90.5</v>
      </c>
      <c r="F24" s="225">
        <f>'!!!Мероприятия подпрограммы 2'!J27</f>
        <v>150</v>
      </c>
      <c r="G24" s="225">
        <f>'!!!Мероприятия подпрограммы 2'!K27</f>
        <v>150</v>
      </c>
      <c r="H24" s="225">
        <f>'!!!Мероприятия подпрограммы 2'!L27</f>
        <v>150</v>
      </c>
      <c r="I24" s="225">
        <f t="shared" si="0"/>
        <v>615.6</v>
      </c>
    </row>
    <row r="25" spans="1:9" ht="15.75">
      <c r="A25" s="276"/>
      <c r="B25" s="276"/>
      <c r="C25" s="156" t="s">
        <v>141</v>
      </c>
      <c r="D25" s="225"/>
      <c r="E25" s="225"/>
      <c r="F25" s="226"/>
      <c r="G25" s="226"/>
      <c r="H25" s="226"/>
      <c r="I25" s="225">
        <f t="shared" si="0"/>
        <v>0</v>
      </c>
    </row>
    <row r="26" spans="1:9" ht="15.75">
      <c r="A26" s="276" t="s">
        <v>160</v>
      </c>
      <c r="B26" s="276" t="s">
        <v>518</v>
      </c>
      <c r="C26" s="19" t="s">
        <v>62</v>
      </c>
      <c r="D26" s="225">
        <f>SUM(D27:D32)</f>
        <v>5419.4</v>
      </c>
      <c r="E26" s="225">
        <f>SUM(E27:E32)</f>
        <v>2227</v>
      </c>
      <c r="F26" s="225">
        <f>SUM(F27:F32)</f>
        <v>4122.6</v>
      </c>
      <c r="G26" s="225">
        <f>SUM(G27:G32)</f>
        <v>4122.6</v>
      </c>
      <c r="H26" s="225">
        <f>SUM(H27:H32)</f>
        <v>4122.6</v>
      </c>
      <c r="I26" s="225">
        <f t="shared" si="0"/>
        <v>20014.2</v>
      </c>
    </row>
    <row r="27" spans="1:9" ht="15.75">
      <c r="A27" s="276"/>
      <c r="B27" s="276"/>
      <c r="C27" s="155" t="s">
        <v>65</v>
      </c>
      <c r="D27" s="225"/>
      <c r="E27" s="225"/>
      <c r="F27" s="226"/>
      <c r="G27" s="226"/>
      <c r="H27" s="226"/>
      <c r="I27" s="225">
        <f t="shared" si="0"/>
        <v>0</v>
      </c>
    </row>
    <row r="28" spans="1:9" ht="15.75">
      <c r="A28" s="276"/>
      <c r="B28" s="276"/>
      <c r="C28" s="156" t="s">
        <v>82</v>
      </c>
      <c r="D28" s="225">
        <f>'!!!Мероприятия подпрограммы 3'!H14</f>
        <v>779</v>
      </c>
      <c r="E28" s="225">
        <f>'!!!Мероприятия подпрограммы 3'!I14</f>
        <v>300.7</v>
      </c>
      <c r="F28" s="225">
        <f>'!!!Мероприятия подпрограммы 3'!J14</f>
        <v>823.1</v>
      </c>
      <c r="G28" s="225">
        <f>'!!!Мероприятия подпрограммы 3'!K14</f>
        <v>813</v>
      </c>
      <c r="H28" s="225">
        <f>'!!!Мероприятия подпрограммы 3'!L14</f>
        <v>0</v>
      </c>
      <c r="I28" s="225">
        <f t="shared" si="0"/>
        <v>2715.8</v>
      </c>
    </row>
    <row r="29" spans="1:9" ht="15.75">
      <c r="A29" s="276"/>
      <c r="B29" s="276"/>
      <c r="C29" s="156" t="s">
        <v>64</v>
      </c>
      <c r="D29" s="225">
        <f>'!!!Мероприятия подпрограммы 3'!H33-'Ресурсное обеспечение'!D31-D28</f>
        <v>4490.4</v>
      </c>
      <c r="E29" s="225">
        <f>'!!!Мероприятия подпрограммы 3'!I33-'Ресурсное обеспечение'!E31-E28</f>
        <v>1776.3</v>
      </c>
      <c r="F29" s="225">
        <f>'!!!Мероприятия подпрограммы 3'!J33-'Ресурсное обеспечение'!F31-F28</f>
        <v>3149.5</v>
      </c>
      <c r="G29" s="225">
        <f>'!!!Мероприятия подпрограммы 3'!K33-'Ресурсное обеспечение'!G31-G28</f>
        <v>3159.6</v>
      </c>
      <c r="H29" s="225">
        <f>'!!!Мероприятия подпрограммы 3'!L33-'Ресурсное обеспечение'!H31-H28</f>
        <v>3972.6</v>
      </c>
      <c r="I29" s="225">
        <f t="shared" si="0"/>
        <v>16548.4</v>
      </c>
    </row>
    <row r="30" spans="1:9" ht="15" customHeight="1">
      <c r="A30" s="276"/>
      <c r="B30" s="276"/>
      <c r="C30" s="156" t="s">
        <v>304</v>
      </c>
      <c r="D30" s="225"/>
      <c r="E30" s="225"/>
      <c r="F30" s="226"/>
      <c r="G30" s="226"/>
      <c r="H30" s="226"/>
      <c r="I30" s="225">
        <f t="shared" si="0"/>
        <v>0</v>
      </c>
    </row>
    <row r="31" spans="1:9" ht="14.25" customHeight="1">
      <c r="A31" s="276"/>
      <c r="B31" s="276"/>
      <c r="C31" s="156" t="s">
        <v>519</v>
      </c>
      <c r="D31" s="225">
        <f>'!!!Мероприятия подпрограммы 3'!H12+'!!!Мероприятия подпрограммы 3'!H21+'!!!Мероприятия подпрограммы 3'!H26</f>
        <v>150</v>
      </c>
      <c r="E31" s="225">
        <f>'!!!Мероприятия подпрограммы 3'!I12+'!!!Мероприятия подпрограммы 3'!I21+'!!!Мероприятия подпрограммы 3'!I26</f>
        <v>150</v>
      </c>
      <c r="F31" s="225">
        <f>'!!!Мероприятия подпрограммы 3'!J12+'!!!Мероприятия подпрограммы 3'!J21+'!!!Мероприятия подпрограммы 3'!J26</f>
        <v>150</v>
      </c>
      <c r="G31" s="225">
        <f>'!!!Мероприятия подпрограммы 3'!K12+'!!!Мероприятия подпрограммы 3'!K21+'!!!Мероприятия подпрограммы 3'!K26</f>
        <v>150</v>
      </c>
      <c r="H31" s="225">
        <f>'!!!Мероприятия подпрограммы 3'!L12+'!!!Мероприятия подпрограммы 3'!L21+'!!!Мероприятия подпрограммы 3'!L26</f>
        <v>150</v>
      </c>
      <c r="I31" s="225">
        <f t="shared" si="0"/>
        <v>750</v>
      </c>
    </row>
    <row r="32" spans="1:9" ht="18" customHeight="1">
      <c r="A32" s="276"/>
      <c r="B32" s="276"/>
      <c r="C32" s="156" t="s">
        <v>141</v>
      </c>
      <c r="D32" s="225"/>
      <c r="E32" s="225"/>
      <c r="F32" s="226"/>
      <c r="G32" s="226"/>
      <c r="H32" s="226"/>
      <c r="I32" s="225">
        <f t="shared" si="0"/>
        <v>0</v>
      </c>
    </row>
    <row r="33" spans="1:9" ht="18" customHeight="1">
      <c r="A33" s="276" t="s">
        <v>161</v>
      </c>
      <c r="B33" s="276" t="s">
        <v>16</v>
      </c>
      <c r="C33" s="19" t="s">
        <v>62</v>
      </c>
      <c r="D33" s="225">
        <f>SUM(D35:D39)</f>
        <v>6138.42</v>
      </c>
      <c r="E33" s="225">
        <f>SUM(E35:E39)</f>
        <v>6339.4</v>
      </c>
      <c r="F33" s="225">
        <f>SUM(F35:F39)</f>
        <v>6908.5</v>
      </c>
      <c r="G33" s="225">
        <f>SUM(G35:G39)</f>
        <v>6908.5</v>
      </c>
      <c r="H33" s="225">
        <f>SUM(H35:H39)</f>
        <v>6908.5</v>
      </c>
      <c r="I33" s="225">
        <f t="shared" si="0"/>
        <v>33203.32</v>
      </c>
    </row>
    <row r="34" spans="1:9" ht="18" customHeight="1">
      <c r="A34" s="276"/>
      <c r="B34" s="276"/>
      <c r="C34" s="155" t="s">
        <v>65</v>
      </c>
      <c r="D34" s="225"/>
      <c r="E34" s="225"/>
      <c r="F34" s="226"/>
      <c r="G34" s="226"/>
      <c r="H34" s="226"/>
      <c r="I34" s="225">
        <f t="shared" si="0"/>
        <v>0</v>
      </c>
    </row>
    <row r="35" spans="1:9" ht="18" customHeight="1">
      <c r="A35" s="276"/>
      <c r="B35" s="276"/>
      <c r="C35" s="156" t="s">
        <v>82</v>
      </c>
      <c r="D35" s="225"/>
      <c r="E35" s="225"/>
      <c r="F35" s="225"/>
      <c r="G35" s="225"/>
      <c r="H35" s="225"/>
      <c r="I35" s="225">
        <f t="shared" si="0"/>
        <v>0</v>
      </c>
    </row>
    <row r="36" spans="1:9" ht="18" customHeight="1">
      <c r="A36" s="276"/>
      <c r="B36" s="276"/>
      <c r="C36" s="156" t="s">
        <v>64</v>
      </c>
      <c r="D36" s="225"/>
      <c r="E36" s="225"/>
      <c r="F36" s="225"/>
      <c r="G36" s="225"/>
      <c r="H36" s="225"/>
      <c r="I36" s="225">
        <f t="shared" si="0"/>
        <v>0</v>
      </c>
    </row>
    <row r="37" spans="1:9" ht="18" customHeight="1">
      <c r="A37" s="276"/>
      <c r="B37" s="276"/>
      <c r="C37" s="156" t="s">
        <v>304</v>
      </c>
      <c r="D37" s="225"/>
      <c r="E37" s="225"/>
      <c r="F37" s="226"/>
      <c r="G37" s="226"/>
      <c r="H37" s="226"/>
      <c r="I37" s="225">
        <f t="shared" si="0"/>
        <v>0</v>
      </c>
    </row>
    <row r="38" spans="1:9" ht="18" customHeight="1">
      <c r="A38" s="276"/>
      <c r="B38" s="276"/>
      <c r="C38" s="156" t="s">
        <v>519</v>
      </c>
      <c r="D38" s="225">
        <f>'!!!Мероприятия подпрограммы 4'!H19-D36</f>
        <v>6138.42</v>
      </c>
      <c r="E38" s="225">
        <f>'!!!Мероприятия подпрограммы 4'!I19-E36</f>
        <v>6339.4</v>
      </c>
      <c r="F38" s="225">
        <f>'!!!Мероприятия подпрограммы 4'!J19-F36</f>
        <v>6908.5</v>
      </c>
      <c r="G38" s="225">
        <f>'!!!Мероприятия подпрограммы 4'!K19-G36</f>
        <v>6908.5</v>
      </c>
      <c r="H38" s="225">
        <f>'!!!Мероприятия подпрограммы 4'!L19-H36</f>
        <v>6908.5</v>
      </c>
      <c r="I38" s="225">
        <f>SUM(D38:H38)</f>
        <v>33203.32</v>
      </c>
    </row>
    <row r="39" spans="1:9" ht="18" customHeight="1">
      <c r="A39" s="276"/>
      <c r="B39" s="276"/>
      <c r="C39" s="156" t="s">
        <v>141</v>
      </c>
      <c r="D39" s="184"/>
      <c r="E39" s="184"/>
      <c r="F39" s="182"/>
      <c r="G39" s="182"/>
      <c r="H39" s="182"/>
      <c r="I39" s="184">
        <f>SUM(D39:H39)</f>
        <v>0</v>
      </c>
    </row>
    <row r="40" spans="1:10" s="1" customFormat="1" ht="30.75" customHeight="1">
      <c r="A40" s="82"/>
      <c r="B40" s="82"/>
      <c r="C40" s="95"/>
      <c r="D40" s="96"/>
      <c r="F40" s="293"/>
      <c r="G40" s="293"/>
      <c r="H40" s="293"/>
      <c r="I40" s="293"/>
      <c r="J40" s="20"/>
    </row>
    <row r="41" spans="4:5" ht="15">
      <c r="D41" s="159"/>
      <c r="E41" s="159">
        <f>'Мероприятия подпрограммы 1'!I107+'!!!Мероприятия подпрограммы 2'!I27+'!!!Мероприятия подпрограммы 3'!I33+'!!!Мероприятия подпрограммы 4'!I19</f>
        <v>285304.4</v>
      </c>
    </row>
    <row r="42" ht="15">
      <c r="D42" s="159"/>
    </row>
    <row r="43" ht="15">
      <c r="D43" s="159"/>
    </row>
    <row r="49" ht="15">
      <c r="L49" s="21" t="s">
        <v>54</v>
      </c>
    </row>
    <row r="145" ht="105" customHeight="1">
      <c r="N145" s="1"/>
    </row>
  </sheetData>
  <sheetProtection/>
  <mergeCells count="17">
    <mergeCell ref="B12:B18"/>
    <mergeCell ref="A19:A25"/>
    <mergeCell ref="B19:B25"/>
    <mergeCell ref="B33:B39"/>
    <mergeCell ref="A26:A32"/>
    <mergeCell ref="B26:B32"/>
    <mergeCell ref="A33:A39"/>
    <mergeCell ref="A2:I2"/>
    <mergeCell ref="E1:I1"/>
    <mergeCell ref="F40:I40"/>
    <mergeCell ref="C3:C4"/>
    <mergeCell ref="A3:A4"/>
    <mergeCell ref="B3:B4"/>
    <mergeCell ref="A5:A11"/>
    <mergeCell ref="B5:B11"/>
    <mergeCell ref="D3:I3"/>
    <mergeCell ref="A12:A18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75" r:id="rId1"/>
  <headerFooter alignWithMargins="0">
    <oddHeader>&amp;C&amp;P</oddHeader>
  </headerFooter>
  <rowBreaks count="1" manualBreakCount="1">
    <brk id="1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1"/>
  <sheetViews>
    <sheetView zoomScale="90" zoomScaleNormal="90" zoomScaleSheetLayoutView="120" workbookViewId="0" topLeftCell="C1">
      <selection activeCell="A2" sqref="A2:O2"/>
    </sheetView>
  </sheetViews>
  <sheetFormatPr defaultColWidth="9.00390625" defaultRowHeight="12.75"/>
  <cols>
    <col min="1" max="1" width="62.625" style="8" customWidth="1"/>
    <col min="2" max="8" width="9.125" style="8" customWidth="1"/>
    <col min="9" max="10" width="9.875" style="8" customWidth="1"/>
    <col min="11" max="11" width="9.625" style="8" bestFit="1" customWidth="1"/>
    <col min="12" max="15" width="10.75390625" style="8" bestFit="1" customWidth="1"/>
    <col min="16" max="16384" width="9.125" style="8" customWidth="1"/>
  </cols>
  <sheetData>
    <row r="1" spans="9:13" ht="78" customHeight="1">
      <c r="I1" s="295" t="s">
        <v>238</v>
      </c>
      <c r="J1" s="295"/>
      <c r="K1" s="295"/>
      <c r="L1" s="295"/>
      <c r="M1" s="295"/>
    </row>
    <row r="2" spans="1:15" s="78" customFormat="1" ht="27.75" customHeight="1">
      <c r="A2" s="299" t="s">
        <v>492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1:15" ht="39.75" customHeight="1">
      <c r="A3" s="241" t="s">
        <v>310</v>
      </c>
      <c r="B3" s="296" t="s">
        <v>309</v>
      </c>
      <c r="C3" s="297"/>
      <c r="D3" s="297"/>
      <c r="E3" s="297"/>
      <c r="F3" s="297"/>
      <c r="G3" s="297"/>
      <c r="H3" s="298"/>
      <c r="I3" s="296" t="s">
        <v>352</v>
      </c>
      <c r="J3" s="297"/>
      <c r="K3" s="297"/>
      <c r="L3" s="297"/>
      <c r="M3" s="297"/>
      <c r="N3" s="297"/>
      <c r="O3" s="298"/>
    </row>
    <row r="4" spans="1:15" ht="31.5">
      <c r="A4" s="241"/>
      <c r="B4" s="10" t="s">
        <v>83</v>
      </c>
      <c r="C4" s="10" t="s">
        <v>84</v>
      </c>
      <c r="D4" s="10" t="s">
        <v>89</v>
      </c>
      <c r="E4" s="10" t="s">
        <v>90</v>
      </c>
      <c r="F4" s="10">
        <v>2016</v>
      </c>
      <c r="G4" s="10">
        <v>2017</v>
      </c>
      <c r="H4" s="10">
        <v>2018</v>
      </c>
      <c r="I4" s="10" t="s">
        <v>83</v>
      </c>
      <c r="J4" s="10" t="s">
        <v>84</v>
      </c>
      <c r="K4" s="10" t="s">
        <v>89</v>
      </c>
      <c r="L4" s="10" t="s">
        <v>90</v>
      </c>
      <c r="M4" s="10" t="s">
        <v>91</v>
      </c>
      <c r="N4" s="10" t="s">
        <v>92</v>
      </c>
      <c r="O4" s="10" t="s">
        <v>93</v>
      </c>
    </row>
    <row r="5" spans="1:15" ht="15.75">
      <c r="A5" s="77" t="s">
        <v>17</v>
      </c>
      <c r="B5" s="10"/>
      <c r="C5" s="10"/>
      <c r="D5" s="10"/>
      <c r="E5" s="10"/>
      <c r="F5" s="10"/>
      <c r="G5" s="10"/>
      <c r="H5" s="10"/>
      <c r="I5" s="171"/>
      <c r="J5" s="171"/>
      <c r="K5" s="171"/>
      <c r="L5" s="171"/>
      <c r="M5" s="171"/>
      <c r="N5" s="171"/>
      <c r="O5" s="77"/>
    </row>
    <row r="6" spans="1:15" ht="49.5" customHeight="1">
      <c r="A6" s="185" t="s">
        <v>349</v>
      </c>
      <c r="B6" s="77"/>
      <c r="C6" s="77"/>
      <c r="D6" s="77"/>
      <c r="E6" s="77"/>
      <c r="F6" s="77"/>
      <c r="G6" s="77"/>
      <c r="H6" s="77"/>
      <c r="I6" s="172"/>
      <c r="J6" s="172"/>
      <c r="K6" s="172"/>
      <c r="L6" s="172"/>
      <c r="M6" s="172"/>
      <c r="N6" s="172"/>
      <c r="O6" s="77"/>
    </row>
    <row r="7" spans="1:15" ht="38.25" customHeight="1">
      <c r="A7" s="196" t="s">
        <v>372</v>
      </c>
      <c r="B7" s="77">
        <v>44</v>
      </c>
      <c r="C7" s="77">
        <v>44</v>
      </c>
      <c r="D7" s="77">
        <v>36</v>
      </c>
      <c r="E7" s="77">
        <v>31</v>
      </c>
      <c r="F7" s="77"/>
      <c r="G7" s="77"/>
      <c r="H7" s="77"/>
      <c r="I7" s="172">
        <v>3814.5</v>
      </c>
      <c r="J7" s="172">
        <v>3800.9</v>
      </c>
      <c r="K7" s="173">
        <v>3159.8</v>
      </c>
      <c r="L7" s="229">
        <v>5337.9</v>
      </c>
      <c r="M7" s="229"/>
      <c r="N7" s="229"/>
      <c r="O7" s="229"/>
    </row>
    <row r="8" spans="1:15" ht="33.75" customHeight="1">
      <c r="A8" s="185" t="s">
        <v>385</v>
      </c>
      <c r="B8" s="77"/>
      <c r="C8" s="77"/>
      <c r="D8" s="77"/>
      <c r="E8" s="77"/>
      <c r="F8" s="77"/>
      <c r="G8" s="77"/>
      <c r="H8" s="77"/>
      <c r="I8" s="172"/>
      <c r="J8" s="172"/>
      <c r="K8" s="173"/>
      <c r="L8" s="229"/>
      <c r="M8" s="229"/>
      <c r="N8" s="229"/>
      <c r="O8" s="229"/>
    </row>
    <row r="9" spans="1:15" ht="31.5">
      <c r="A9" s="196" t="s">
        <v>373</v>
      </c>
      <c r="B9" s="77">
        <v>153</v>
      </c>
      <c r="C9" s="77">
        <v>156</v>
      </c>
      <c r="D9" s="77">
        <v>154</v>
      </c>
      <c r="E9" s="77">
        <v>178</v>
      </c>
      <c r="F9" s="77">
        <v>218</v>
      </c>
      <c r="G9" s="77">
        <v>218</v>
      </c>
      <c r="H9" s="77">
        <v>218</v>
      </c>
      <c r="I9" s="172">
        <v>7628.9</v>
      </c>
      <c r="J9" s="172">
        <v>7601.8</v>
      </c>
      <c r="K9" s="173">
        <v>10887.5</v>
      </c>
      <c r="L9" s="229">
        <v>11101.4</v>
      </c>
      <c r="M9" s="229">
        <v>14417.4</v>
      </c>
      <c r="N9" s="229">
        <v>11101.4</v>
      </c>
      <c r="O9" s="229">
        <v>11101.4</v>
      </c>
    </row>
    <row r="10" spans="1:15" ht="31.5">
      <c r="A10" s="185" t="s">
        <v>386</v>
      </c>
      <c r="B10" s="77"/>
      <c r="C10" s="77"/>
      <c r="D10" s="77"/>
      <c r="E10" s="77"/>
      <c r="F10" s="77"/>
      <c r="G10" s="77"/>
      <c r="H10" s="77"/>
      <c r="I10" s="172"/>
      <c r="J10" s="172"/>
      <c r="K10" s="173"/>
      <c r="L10" s="229"/>
      <c r="M10" s="229"/>
      <c r="N10" s="229"/>
      <c r="O10" s="229"/>
    </row>
    <row r="11" spans="1:15" ht="31.5">
      <c r="A11" s="196" t="s">
        <v>374</v>
      </c>
      <c r="B11" s="77">
        <v>221</v>
      </c>
      <c r="C11" s="77">
        <v>206</v>
      </c>
      <c r="D11" s="77">
        <v>209</v>
      </c>
      <c r="E11" s="77">
        <v>279</v>
      </c>
      <c r="F11" s="77">
        <v>207</v>
      </c>
      <c r="G11" s="77">
        <v>207</v>
      </c>
      <c r="H11" s="77">
        <v>207</v>
      </c>
      <c r="I11" s="172">
        <v>10503.6</v>
      </c>
      <c r="J11" s="172">
        <v>10466.2</v>
      </c>
      <c r="K11" s="173">
        <v>15194.6</v>
      </c>
      <c r="L11" s="229">
        <v>14599.9</v>
      </c>
      <c r="M11" s="229">
        <v>16436.1</v>
      </c>
      <c r="N11" s="229">
        <v>16436.1</v>
      </c>
      <c r="O11" s="229">
        <v>16436.1</v>
      </c>
    </row>
    <row r="12" spans="1:15" ht="31.5">
      <c r="A12" s="185" t="s">
        <v>387</v>
      </c>
      <c r="B12" s="77"/>
      <c r="C12" s="77"/>
      <c r="D12" s="77"/>
      <c r="E12" s="77"/>
      <c r="F12" s="77"/>
      <c r="G12" s="77"/>
      <c r="H12" s="77"/>
      <c r="I12" s="172"/>
      <c r="J12" s="172"/>
      <c r="K12" s="173"/>
      <c r="L12" s="229"/>
      <c r="M12" s="229"/>
      <c r="N12" s="229"/>
      <c r="O12" s="229"/>
    </row>
    <row r="13" spans="1:15" ht="31.5">
      <c r="A13" s="196" t="s">
        <v>375</v>
      </c>
      <c r="B13" s="77">
        <v>39</v>
      </c>
      <c r="C13" s="77">
        <v>57</v>
      </c>
      <c r="D13" s="77">
        <v>59</v>
      </c>
      <c r="E13" s="77">
        <v>86</v>
      </c>
      <c r="F13" s="77">
        <v>61</v>
      </c>
      <c r="G13" s="77">
        <v>61</v>
      </c>
      <c r="H13" s="77">
        <v>61</v>
      </c>
      <c r="I13" s="172">
        <v>2847</v>
      </c>
      <c r="J13" s="172">
        <v>2839.9</v>
      </c>
      <c r="K13" s="173">
        <v>4239.3</v>
      </c>
      <c r="L13" s="229">
        <v>4621.1</v>
      </c>
      <c r="M13" s="229">
        <v>4998.7</v>
      </c>
      <c r="N13" s="229">
        <v>4998.7</v>
      </c>
      <c r="O13" s="229">
        <v>4998.7</v>
      </c>
    </row>
    <row r="14" spans="1:15" ht="51" customHeight="1">
      <c r="A14" s="185" t="s">
        <v>388</v>
      </c>
      <c r="B14" s="77"/>
      <c r="C14" s="77"/>
      <c r="D14" s="77"/>
      <c r="E14" s="77"/>
      <c r="F14" s="77"/>
      <c r="G14" s="77"/>
      <c r="H14" s="77"/>
      <c r="I14" s="172"/>
      <c r="J14" s="172"/>
      <c r="K14" s="173"/>
      <c r="L14" s="229"/>
      <c r="M14" s="229"/>
      <c r="N14" s="229"/>
      <c r="O14" s="229"/>
    </row>
    <row r="15" spans="1:15" ht="47.25">
      <c r="A15" s="196" t="s">
        <v>376</v>
      </c>
      <c r="B15" s="77">
        <v>31</v>
      </c>
      <c r="C15" s="77">
        <v>31</v>
      </c>
      <c r="D15" s="77">
        <v>14</v>
      </c>
      <c r="E15" s="77">
        <v>22</v>
      </c>
      <c r="F15" s="77"/>
      <c r="G15" s="77"/>
      <c r="H15" s="77"/>
      <c r="I15" s="172">
        <v>2847</v>
      </c>
      <c r="J15" s="172">
        <v>3836.9</v>
      </c>
      <c r="K15" s="173">
        <v>447.7</v>
      </c>
      <c r="L15" s="229">
        <v>860.7</v>
      </c>
      <c r="M15" s="229"/>
      <c r="N15" s="229"/>
      <c r="O15" s="229"/>
    </row>
    <row r="16" spans="1:15" ht="31.5">
      <c r="A16" s="185" t="s">
        <v>477</v>
      </c>
      <c r="B16" s="77"/>
      <c r="C16" s="77"/>
      <c r="D16" s="77"/>
      <c r="E16" s="77"/>
      <c r="F16" s="77"/>
      <c r="G16" s="77"/>
      <c r="H16" s="77"/>
      <c r="I16" s="172"/>
      <c r="J16" s="172"/>
      <c r="K16" s="173"/>
      <c r="L16" s="229"/>
      <c r="M16" s="229"/>
      <c r="N16" s="229"/>
      <c r="O16" s="229"/>
    </row>
    <row r="17" spans="1:15" ht="31.5">
      <c r="A17" s="196" t="s">
        <v>476</v>
      </c>
      <c r="B17" s="77"/>
      <c r="C17" s="77"/>
      <c r="D17" s="77"/>
      <c r="E17" s="77"/>
      <c r="F17" s="77">
        <v>378</v>
      </c>
      <c r="G17" s="77">
        <v>378</v>
      </c>
      <c r="H17" s="77">
        <v>378</v>
      </c>
      <c r="I17" s="172"/>
      <c r="J17" s="172"/>
      <c r="K17" s="173"/>
      <c r="L17" s="229"/>
      <c r="M17" s="229">
        <v>1564.9</v>
      </c>
      <c r="N17" s="229">
        <v>1564.8</v>
      </c>
      <c r="O17" s="229">
        <v>1564.8</v>
      </c>
    </row>
    <row r="18" spans="1:15" ht="31.5">
      <c r="A18" s="185" t="s">
        <v>350</v>
      </c>
      <c r="B18" s="77"/>
      <c r="C18" s="77"/>
      <c r="D18" s="77"/>
      <c r="E18" s="77"/>
      <c r="F18" s="77"/>
      <c r="G18" s="77"/>
      <c r="H18" s="77"/>
      <c r="I18" s="172"/>
      <c r="J18" s="172"/>
      <c r="K18" s="173"/>
      <c r="L18" s="229"/>
      <c r="M18" s="229"/>
      <c r="N18" s="229"/>
      <c r="O18" s="229"/>
    </row>
    <row r="19" spans="1:15" ht="15.75">
      <c r="A19" s="197" t="s">
        <v>351</v>
      </c>
      <c r="B19" s="77">
        <v>138</v>
      </c>
      <c r="C19" s="77">
        <v>138</v>
      </c>
      <c r="D19" s="77">
        <v>186</v>
      </c>
      <c r="E19" s="77">
        <v>206</v>
      </c>
      <c r="F19" s="77">
        <v>219</v>
      </c>
      <c r="G19" s="77">
        <v>153</v>
      </c>
      <c r="H19" s="77">
        <v>153</v>
      </c>
      <c r="I19" s="172">
        <v>8438.9</v>
      </c>
      <c r="J19" s="172">
        <v>9290.1</v>
      </c>
      <c r="K19" s="173">
        <v>12741.7</v>
      </c>
      <c r="L19" s="229">
        <v>14489.2</v>
      </c>
      <c r="M19" s="229">
        <v>9452.2</v>
      </c>
      <c r="N19" s="229">
        <v>6603.6</v>
      </c>
      <c r="O19" s="229">
        <v>6603.6</v>
      </c>
    </row>
    <row r="20" spans="1:15" ht="15.75">
      <c r="A20" s="185" t="s">
        <v>475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228"/>
      <c r="M20" s="228"/>
      <c r="N20" s="228"/>
      <c r="O20" s="228"/>
    </row>
    <row r="21" spans="1:15" ht="15.75">
      <c r="A21" s="197" t="s">
        <v>351</v>
      </c>
      <c r="B21" s="77"/>
      <c r="C21" s="77"/>
      <c r="D21" s="77"/>
      <c r="E21" s="77"/>
      <c r="F21" s="77">
        <v>184</v>
      </c>
      <c r="G21" s="77">
        <v>143</v>
      </c>
      <c r="H21" s="77">
        <v>143</v>
      </c>
      <c r="I21" s="77"/>
      <c r="J21" s="77"/>
      <c r="K21" s="77"/>
      <c r="L21" s="228"/>
      <c r="M21" s="228">
        <v>5395.9</v>
      </c>
      <c r="N21" s="228">
        <v>4193.5</v>
      </c>
      <c r="O21" s="228">
        <v>4193.5</v>
      </c>
    </row>
  </sheetData>
  <sheetProtection/>
  <mergeCells count="5">
    <mergeCell ref="I1:M1"/>
    <mergeCell ref="A3:A4"/>
    <mergeCell ref="B3:H3"/>
    <mergeCell ref="I3:O3"/>
    <mergeCell ref="A2:O2"/>
  </mergeCells>
  <printOptions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landscape" paperSize="9" scale="6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31"/>
  <sheetViews>
    <sheetView view="pageBreakPreview" zoomScale="83" zoomScaleNormal="79" zoomScaleSheetLayoutView="83" workbookViewId="0" topLeftCell="C1">
      <pane ySplit="5" topLeftCell="BM18" activePane="bottomLeft" state="frozen"/>
      <selection pane="topLeft" activeCell="A1" sqref="A1"/>
      <selection pane="bottomLeft" activeCell="A2" sqref="A2:H2"/>
    </sheetView>
  </sheetViews>
  <sheetFormatPr defaultColWidth="9.00390625" defaultRowHeight="12.75"/>
  <cols>
    <col min="1" max="1" width="6.25390625" style="68" customWidth="1"/>
    <col min="2" max="2" width="79.125" style="1" customWidth="1"/>
    <col min="3" max="3" width="12.00390625" style="1" customWidth="1"/>
    <col min="4" max="4" width="11.375" style="1" hidden="1" customWidth="1"/>
    <col min="5" max="9" width="11.375" style="1" customWidth="1"/>
    <col min="10" max="16384" width="9.125" style="1" customWidth="1"/>
  </cols>
  <sheetData>
    <row r="1" spans="1:10" ht="81.75" customHeight="1">
      <c r="A1" s="57"/>
      <c r="B1" s="29"/>
      <c r="C1" s="47"/>
      <c r="E1" s="275" t="s">
        <v>239</v>
      </c>
      <c r="F1" s="275"/>
      <c r="G1" s="275"/>
      <c r="H1" s="275"/>
      <c r="I1" s="275"/>
      <c r="J1" s="275"/>
    </row>
    <row r="2" spans="1:8" ht="37.5" customHeight="1">
      <c r="A2" s="278" t="s">
        <v>311</v>
      </c>
      <c r="B2" s="278"/>
      <c r="C2" s="278"/>
      <c r="D2" s="278"/>
      <c r="E2" s="278"/>
      <c r="F2" s="278"/>
      <c r="G2" s="278"/>
      <c r="H2" s="278"/>
    </row>
    <row r="3" spans="1:10" ht="25.5" customHeight="1">
      <c r="A3" s="307" t="s">
        <v>61</v>
      </c>
      <c r="B3" s="310" t="s">
        <v>312</v>
      </c>
      <c r="C3" s="310" t="s">
        <v>57</v>
      </c>
      <c r="D3" s="246" t="s">
        <v>88</v>
      </c>
      <c r="E3" s="246" t="s">
        <v>84</v>
      </c>
      <c r="F3" s="246" t="s">
        <v>89</v>
      </c>
      <c r="G3" s="246" t="s">
        <v>90</v>
      </c>
      <c r="H3" s="246" t="s">
        <v>91</v>
      </c>
      <c r="I3" s="246" t="s">
        <v>92</v>
      </c>
      <c r="J3" s="246" t="s">
        <v>93</v>
      </c>
    </row>
    <row r="4" spans="1:10" ht="25.5" customHeight="1">
      <c r="A4" s="308"/>
      <c r="B4" s="311"/>
      <c r="C4" s="311"/>
      <c r="D4" s="294"/>
      <c r="E4" s="294"/>
      <c r="F4" s="294"/>
      <c r="G4" s="294"/>
      <c r="H4" s="294"/>
      <c r="I4" s="294"/>
      <c r="J4" s="294"/>
    </row>
    <row r="5" spans="1:10" ht="25.5" customHeight="1">
      <c r="A5" s="309"/>
      <c r="B5" s="312"/>
      <c r="C5" s="312"/>
      <c r="D5" s="247"/>
      <c r="E5" s="247"/>
      <c r="F5" s="247"/>
      <c r="G5" s="247"/>
      <c r="H5" s="247"/>
      <c r="I5" s="247"/>
      <c r="J5" s="247"/>
    </row>
    <row r="6" spans="1:10" ht="39.75" customHeight="1">
      <c r="A6" s="260" t="s">
        <v>18</v>
      </c>
      <c r="B6" s="261"/>
      <c r="C6" s="261"/>
      <c r="D6" s="261"/>
      <c r="E6" s="261"/>
      <c r="F6" s="261"/>
      <c r="G6" s="261"/>
      <c r="H6" s="261"/>
      <c r="I6" s="261"/>
      <c r="J6" s="261"/>
    </row>
    <row r="7" spans="1:10" ht="33" customHeight="1">
      <c r="A7" s="303" t="s">
        <v>320</v>
      </c>
      <c r="B7" s="304"/>
      <c r="C7" s="304"/>
      <c r="D7" s="304"/>
      <c r="E7" s="304"/>
      <c r="F7" s="304"/>
      <c r="G7" s="304"/>
      <c r="H7" s="304"/>
      <c r="I7" s="304"/>
      <c r="J7" s="304"/>
    </row>
    <row r="8" spans="1:10" ht="33.75" customHeight="1">
      <c r="A8" s="35" t="s">
        <v>354</v>
      </c>
      <c r="B8" s="137" t="s">
        <v>125</v>
      </c>
      <c r="C8" s="14" t="s">
        <v>55</v>
      </c>
      <c r="D8" s="143">
        <v>546.3</v>
      </c>
      <c r="E8" s="12">
        <v>284.5</v>
      </c>
      <c r="F8" s="12">
        <v>312.6</v>
      </c>
      <c r="G8" s="188">
        <v>449.4</v>
      </c>
      <c r="H8" s="188">
        <v>485.6</v>
      </c>
      <c r="I8" s="188">
        <v>485.6</v>
      </c>
      <c r="J8" s="188">
        <v>485.6</v>
      </c>
    </row>
    <row r="9" spans="1:10" ht="84" customHeight="1">
      <c r="A9" s="35" t="s">
        <v>282</v>
      </c>
      <c r="B9" s="63" t="s">
        <v>8</v>
      </c>
      <c r="C9" s="67" t="s">
        <v>55</v>
      </c>
      <c r="D9" s="186">
        <v>80</v>
      </c>
      <c r="E9" s="187">
        <v>71.26</v>
      </c>
      <c r="F9" s="187">
        <v>82.57</v>
      </c>
      <c r="G9" s="187">
        <v>100</v>
      </c>
      <c r="H9" s="187">
        <v>100</v>
      </c>
      <c r="I9" s="187">
        <v>100</v>
      </c>
      <c r="J9" s="187">
        <v>100</v>
      </c>
    </row>
    <row r="10" spans="1:10" ht="105.75" customHeight="1">
      <c r="A10" s="35" t="s">
        <v>395</v>
      </c>
      <c r="B10" s="63" t="s">
        <v>554</v>
      </c>
      <c r="C10" s="14" t="s">
        <v>55</v>
      </c>
      <c r="D10" s="14" t="s">
        <v>51</v>
      </c>
      <c r="E10" s="14">
        <v>0</v>
      </c>
      <c r="F10" s="14">
        <v>60</v>
      </c>
      <c r="G10" s="14">
        <v>100</v>
      </c>
      <c r="H10" s="14">
        <v>100</v>
      </c>
      <c r="I10" s="14">
        <v>100</v>
      </c>
      <c r="J10" s="187">
        <v>100</v>
      </c>
    </row>
    <row r="11" spans="1:10" ht="98.25" customHeight="1">
      <c r="A11" s="35" t="s">
        <v>284</v>
      </c>
      <c r="B11" s="63" t="s">
        <v>127</v>
      </c>
      <c r="C11" s="14" t="s">
        <v>55</v>
      </c>
      <c r="D11" s="14" t="s">
        <v>51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ht="95.25" customHeight="1">
      <c r="A12" s="35" t="s">
        <v>355</v>
      </c>
      <c r="B12" s="63" t="s">
        <v>555</v>
      </c>
      <c r="C12" s="14" t="s">
        <v>55</v>
      </c>
      <c r="D12" s="14" t="s">
        <v>51</v>
      </c>
      <c r="E12" s="14">
        <v>0</v>
      </c>
      <c r="F12" s="14">
        <v>33</v>
      </c>
      <c r="G12" s="14">
        <v>100</v>
      </c>
      <c r="H12" s="14">
        <v>100</v>
      </c>
      <c r="I12" s="14">
        <v>100</v>
      </c>
      <c r="J12" s="14">
        <v>100</v>
      </c>
    </row>
    <row r="13" spans="1:10" ht="95.25" customHeight="1">
      <c r="A13" s="35" t="s">
        <v>285</v>
      </c>
      <c r="B13" s="63" t="s">
        <v>171</v>
      </c>
      <c r="C13" s="14" t="s">
        <v>55</v>
      </c>
      <c r="D13" s="14"/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</row>
    <row r="14" spans="1:10" ht="45.75" customHeight="1">
      <c r="A14" s="305" t="s">
        <v>321</v>
      </c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ht="85.5" customHeight="1">
      <c r="A15" s="35" t="s">
        <v>184</v>
      </c>
      <c r="B15" s="63" t="s">
        <v>19</v>
      </c>
      <c r="C15" s="30" t="s">
        <v>55</v>
      </c>
      <c r="D15" s="66">
        <v>15.6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</row>
    <row r="16" spans="1:10" ht="74.25" customHeight="1">
      <c r="A16" s="35" t="s">
        <v>356</v>
      </c>
      <c r="B16" s="63" t="s">
        <v>50</v>
      </c>
      <c r="C16" s="30" t="s">
        <v>55</v>
      </c>
      <c r="D16" s="66">
        <v>83.66</v>
      </c>
      <c r="E16" s="66">
        <v>100</v>
      </c>
      <c r="F16" s="66">
        <v>100</v>
      </c>
      <c r="G16" s="66">
        <v>100</v>
      </c>
      <c r="H16" s="66">
        <v>100</v>
      </c>
      <c r="I16" s="66">
        <v>100</v>
      </c>
      <c r="J16" s="66">
        <v>100</v>
      </c>
    </row>
    <row r="17" spans="1:10" ht="41.25" customHeight="1">
      <c r="A17" s="35" t="s">
        <v>357</v>
      </c>
      <c r="B17" s="63" t="s">
        <v>67</v>
      </c>
      <c r="C17" s="30" t="s">
        <v>55</v>
      </c>
      <c r="D17" s="38">
        <v>90</v>
      </c>
      <c r="E17" s="38">
        <v>100</v>
      </c>
      <c r="F17" s="38">
        <v>100</v>
      </c>
      <c r="G17" s="38">
        <v>100</v>
      </c>
      <c r="H17" s="38">
        <v>100</v>
      </c>
      <c r="I17" s="38">
        <v>100</v>
      </c>
      <c r="J17" s="38">
        <v>100</v>
      </c>
    </row>
    <row r="18" spans="1:10" ht="72.75" customHeight="1">
      <c r="A18" s="35" t="s">
        <v>288</v>
      </c>
      <c r="B18" s="136" t="s">
        <v>479</v>
      </c>
      <c r="C18" s="30" t="s">
        <v>55</v>
      </c>
      <c r="D18" s="30">
        <v>1.96</v>
      </c>
      <c r="E18" s="30">
        <v>1.86</v>
      </c>
      <c r="F18" s="58" t="s">
        <v>393</v>
      </c>
      <c r="G18" s="30">
        <v>5.23</v>
      </c>
      <c r="H18" s="30">
        <v>5.21</v>
      </c>
      <c r="I18" s="30">
        <v>5.21</v>
      </c>
      <c r="J18" s="14">
        <v>5.21</v>
      </c>
    </row>
    <row r="19" spans="1:10" s="65" customFormat="1" ht="68.25" customHeight="1">
      <c r="A19" s="35" t="s">
        <v>118</v>
      </c>
      <c r="B19" s="223" t="s">
        <v>489</v>
      </c>
      <c r="C19" s="14" t="s">
        <v>55</v>
      </c>
      <c r="D19" s="40">
        <v>2.34</v>
      </c>
      <c r="E19" s="40">
        <v>5.5</v>
      </c>
      <c r="F19" s="40">
        <v>5.4</v>
      </c>
      <c r="G19" s="40">
        <v>7.84</v>
      </c>
      <c r="H19" s="40">
        <v>1.75</v>
      </c>
      <c r="I19" s="220">
        <v>0</v>
      </c>
      <c r="J19" s="40">
        <v>0</v>
      </c>
    </row>
    <row r="20" spans="1:10" ht="65.25" customHeight="1">
      <c r="A20" s="35" t="s">
        <v>185</v>
      </c>
      <c r="B20" s="63" t="s">
        <v>41</v>
      </c>
      <c r="C20" s="30" t="s">
        <v>55</v>
      </c>
      <c r="D20" s="66">
        <v>9.78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0" ht="82.5" customHeight="1">
      <c r="A21" s="35" t="s">
        <v>397</v>
      </c>
      <c r="B21" s="63" t="s">
        <v>123</v>
      </c>
      <c r="C21" s="36" t="s">
        <v>55</v>
      </c>
      <c r="D21" s="36">
        <v>83</v>
      </c>
      <c r="E21" s="36">
        <v>59.3</v>
      </c>
      <c r="F21" s="36">
        <v>81.5</v>
      </c>
      <c r="G21" s="36">
        <v>92.6</v>
      </c>
      <c r="H21" s="36">
        <v>100</v>
      </c>
      <c r="I21" s="36">
        <v>100</v>
      </c>
      <c r="J21" s="14">
        <v>100</v>
      </c>
    </row>
    <row r="22" spans="1:10" ht="72.75" customHeight="1">
      <c r="A22" s="35" t="s">
        <v>398</v>
      </c>
      <c r="B22" s="63" t="s">
        <v>301</v>
      </c>
      <c r="C22" s="36" t="s">
        <v>55</v>
      </c>
      <c r="D22" s="30">
        <v>35</v>
      </c>
      <c r="E22" s="36">
        <v>59.3</v>
      </c>
      <c r="F22" s="36">
        <v>81.5</v>
      </c>
      <c r="G22" s="36">
        <v>82.3</v>
      </c>
      <c r="H22" s="36">
        <v>92.6</v>
      </c>
      <c r="I22" s="36">
        <v>95.3</v>
      </c>
      <c r="J22" s="14">
        <v>95.3</v>
      </c>
    </row>
    <row r="23" spans="1:10" ht="88.5" customHeight="1">
      <c r="A23" s="35" t="s">
        <v>399</v>
      </c>
      <c r="B23" s="63" t="s">
        <v>300</v>
      </c>
      <c r="C23" s="36" t="s">
        <v>55</v>
      </c>
      <c r="D23" s="30">
        <v>45</v>
      </c>
      <c r="E23" s="30">
        <v>0</v>
      </c>
      <c r="F23" s="30">
        <v>0</v>
      </c>
      <c r="G23" s="30">
        <v>0</v>
      </c>
      <c r="H23" s="30">
        <v>7.1</v>
      </c>
      <c r="I23" s="30">
        <v>7.1</v>
      </c>
      <c r="J23" s="14">
        <v>7.1</v>
      </c>
    </row>
    <row r="24" spans="1:10" ht="63.75" customHeight="1">
      <c r="A24" s="35" t="s">
        <v>400</v>
      </c>
      <c r="B24" s="63" t="s">
        <v>49</v>
      </c>
      <c r="C24" s="36" t="s">
        <v>55</v>
      </c>
      <c r="D24" s="30">
        <v>1</v>
      </c>
      <c r="E24" s="30">
        <v>36.4</v>
      </c>
      <c r="F24" s="30">
        <v>72.7</v>
      </c>
      <c r="G24" s="30">
        <v>72.7</v>
      </c>
      <c r="H24" s="224">
        <v>81.8</v>
      </c>
      <c r="I24" s="224">
        <v>81.8</v>
      </c>
      <c r="J24" s="224">
        <v>81.8</v>
      </c>
    </row>
    <row r="25" spans="1:10" ht="94.5">
      <c r="A25" s="35" t="s">
        <v>408</v>
      </c>
      <c r="B25" s="136" t="s">
        <v>20</v>
      </c>
      <c r="C25" s="30" t="s">
        <v>55</v>
      </c>
      <c r="D25" s="30" t="s">
        <v>51</v>
      </c>
      <c r="E25" s="30" t="s">
        <v>51</v>
      </c>
      <c r="F25" s="30">
        <v>63.6</v>
      </c>
      <c r="G25" s="30">
        <v>100</v>
      </c>
      <c r="H25" s="30">
        <v>100</v>
      </c>
      <c r="I25" s="30">
        <v>100</v>
      </c>
      <c r="J25" s="30">
        <v>100</v>
      </c>
    </row>
    <row r="26" spans="1:10" ht="44.25" customHeight="1">
      <c r="A26" s="305" t="s">
        <v>547</v>
      </c>
      <c r="B26" s="306"/>
      <c r="C26" s="306"/>
      <c r="D26" s="306"/>
      <c r="E26" s="306"/>
      <c r="F26" s="306"/>
      <c r="G26" s="306"/>
      <c r="H26" s="306"/>
      <c r="I26" s="306"/>
      <c r="J26" s="306"/>
    </row>
    <row r="27" spans="1:10" ht="52.5" customHeight="1">
      <c r="A27" s="58" t="s">
        <v>402</v>
      </c>
      <c r="B27" s="136" t="s">
        <v>126</v>
      </c>
      <c r="C27" s="14" t="s">
        <v>55</v>
      </c>
      <c r="D27" s="30">
        <v>78.4</v>
      </c>
      <c r="E27" s="30">
        <v>69.8</v>
      </c>
      <c r="F27" s="30">
        <v>70</v>
      </c>
      <c r="G27" s="30">
        <v>70.2</v>
      </c>
      <c r="H27" s="30">
        <v>70.4</v>
      </c>
      <c r="I27" s="30">
        <v>70.7</v>
      </c>
      <c r="J27" s="30">
        <v>70.8</v>
      </c>
    </row>
    <row r="28" spans="1:8" ht="42" customHeight="1">
      <c r="A28" s="300" t="s">
        <v>348</v>
      </c>
      <c r="B28" s="301"/>
      <c r="C28" s="301"/>
      <c r="D28" s="301"/>
      <c r="E28" s="301"/>
      <c r="F28" s="301"/>
      <c r="G28" s="301"/>
      <c r="H28" s="302"/>
    </row>
    <row r="29" spans="1:10" ht="15.75">
      <c r="A29" s="41" t="s">
        <v>401</v>
      </c>
      <c r="B29" s="136" t="s">
        <v>76</v>
      </c>
      <c r="C29" s="30" t="s">
        <v>55</v>
      </c>
      <c r="D29" s="37">
        <v>82.9</v>
      </c>
      <c r="E29" s="37">
        <v>89.6</v>
      </c>
      <c r="F29" s="37">
        <v>89.6</v>
      </c>
      <c r="G29" s="37">
        <v>94.8</v>
      </c>
      <c r="H29" s="222">
        <v>75.7</v>
      </c>
      <c r="I29" s="222">
        <v>75.8</v>
      </c>
      <c r="J29" s="222">
        <v>75.9</v>
      </c>
    </row>
    <row r="30" spans="1:9" ht="20.25" customHeight="1">
      <c r="A30" s="90"/>
      <c r="B30" s="72"/>
      <c r="C30" s="73"/>
      <c r="D30" s="76"/>
      <c r="E30" s="76"/>
      <c r="F30" s="76"/>
      <c r="G30" s="76"/>
      <c r="H30" s="76"/>
      <c r="I30" s="76"/>
    </row>
    <row r="31" spans="1:9" ht="26.25" customHeight="1">
      <c r="A31" s="69"/>
      <c r="B31" s="69"/>
      <c r="C31" s="69"/>
      <c r="F31" s="82"/>
      <c r="G31" s="65"/>
      <c r="H31" s="70"/>
      <c r="I31" s="70"/>
    </row>
  </sheetData>
  <sheetProtection/>
  <mergeCells count="17">
    <mergeCell ref="E1:J1"/>
    <mergeCell ref="J3:J5"/>
    <mergeCell ref="A2:H2"/>
    <mergeCell ref="F3:F5"/>
    <mergeCell ref="G3:G5"/>
    <mergeCell ref="H3:H5"/>
    <mergeCell ref="A3:A5"/>
    <mergeCell ref="B3:B5"/>
    <mergeCell ref="C3:C5"/>
    <mergeCell ref="D3:D5"/>
    <mergeCell ref="A28:H28"/>
    <mergeCell ref="E3:E5"/>
    <mergeCell ref="A6:J6"/>
    <mergeCell ref="A7:J7"/>
    <mergeCell ref="A14:J14"/>
    <mergeCell ref="A26:J26"/>
    <mergeCell ref="I3:I5"/>
  </mergeCells>
  <printOptions/>
  <pageMargins left="0.5118110236220472" right="0.5118110236220472" top="0.5511811023622047" bottom="0.35433070866141736" header="0.31496062992125984" footer="0.31496062992125984"/>
  <pageSetup fitToHeight="4" fitToWidth="1" horizontalDpi="600" verticalDpi="600" orientation="landscape" paperSize="9" scale="84" r:id="rId3"/>
  <headerFooter alignWithMargins="0">
    <oddHeader>&amp;C&amp;P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139"/>
  <sheetViews>
    <sheetView view="pageBreakPreview" zoomScale="80" zoomScaleSheetLayoutView="80" workbookViewId="0" topLeftCell="G1">
      <selection activeCell="A2" sqref="A2:N2"/>
    </sheetView>
  </sheetViews>
  <sheetFormatPr defaultColWidth="9.00390625" defaultRowHeight="12.75"/>
  <cols>
    <col min="1" max="1" width="13.00390625" style="6" customWidth="1"/>
    <col min="2" max="2" width="47.125" style="89" customWidth="1"/>
    <col min="3" max="3" width="21.875" style="65" customWidth="1"/>
    <col min="4" max="5" width="9.125" style="7" customWidth="1"/>
    <col min="6" max="6" width="15.25390625" style="7" customWidth="1"/>
    <col min="7" max="7" width="9.25390625" style="7" bestFit="1" customWidth="1"/>
    <col min="8" max="13" width="17.875" style="150" customWidth="1"/>
    <col min="14" max="14" width="55.625" style="1" customWidth="1"/>
    <col min="15" max="15" width="12.00390625" style="1" customWidth="1"/>
    <col min="16" max="16" width="15.375" style="1" customWidth="1"/>
    <col min="17" max="17" width="21.125" style="1" customWidth="1"/>
    <col min="18" max="16384" width="9.125" style="1" customWidth="1"/>
  </cols>
  <sheetData>
    <row r="1" spans="1:17" s="3" customFormat="1" ht="88.5" customHeight="1">
      <c r="A1" s="2"/>
      <c r="B1" s="158"/>
      <c r="C1" s="74"/>
      <c r="D1" s="4"/>
      <c r="E1" s="4"/>
      <c r="F1" s="4"/>
      <c r="G1" s="4"/>
      <c r="H1" s="341"/>
      <c r="I1" s="341"/>
      <c r="J1" s="147"/>
      <c r="K1" s="147"/>
      <c r="L1" s="147"/>
      <c r="M1" s="275" t="s">
        <v>493</v>
      </c>
      <c r="N1" s="275"/>
      <c r="O1" s="162"/>
      <c r="P1" s="162"/>
      <c r="Q1" s="162"/>
    </row>
    <row r="2" spans="1:14" s="3" customFormat="1" ht="23.25" customHeight="1">
      <c r="A2" s="336" t="s">
        <v>156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s="3" customFormat="1" ht="24.75" customHeight="1">
      <c r="A3" s="276" t="s">
        <v>61</v>
      </c>
      <c r="B3" s="290" t="s">
        <v>75</v>
      </c>
      <c r="C3" s="276" t="s">
        <v>146</v>
      </c>
      <c r="D3" s="276" t="s">
        <v>145</v>
      </c>
      <c r="E3" s="276"/>
      <c r="F3" s="276"/>
      <c r="G3" s="276"/>
      <c r="H3" s="331" t="s">
        <v>150</v>
      </c>
      <c r="I3" s="331"/>
      <c r="J3" s="331"/>
      <c r="K3" s="331"/>
      <c r="L3" s="331"/>
      <c r="M3" s="331"/>
      <c r="N3" s="276" t="s">
        <v>210</v>
      </c>
    </row>
    <row r="4" spans="1:14" s="3" customFormat="1" ht="42" customHeight="1">
      <c r="A4" s="276"/>
      <c r="B4" s="290"/>
      <c r="C4" s="276"/>
      <c r="D4" s="11" t="s">
        <v>146</v>
      </c>
      <c r="E4" s="11" t="s">
        <v>147</v>
      </c>
      <c r="F4" s="11" t="s">
        <v>148</v>
      </c>
      <c r="G4" s="11" t="s">
        <v>149</v>
      </c>
      <c r="H4" s="86">
        <v>2014</v>
      </c>
      <c r="I4" s="86">
        <v>2015</v>
      </c>
      <c r="J4" s="86">
        <v>2016</v>
      </c>
      <c r="K4" s="86" t="s">
        <v>187</v>
      </c>
      <c r="L4" s="86" t="s">
        <v>427</v>
      </c>
      <c r="M4" s="148" t="s">
        <v>151</v>
      </c>
      <c r="N4" s="276"/>
    </row>
    <row r="5" spans="1:14" ht="26.25" customHeight="1">
      <c r="A5" s="337" t="s">
        <v>211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</row>
    <row r="6" spans="1:14" ht="24" customHeight="1">
      <c r="A6" s="342" t="s">
        <v>320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</row>
    <row r="7" spans="1:14" ht="36" customHeight="1">
      <c r="A7" s="322" t="s">
        <v>354</v>
      </c>
      <c r="B7" s="329" t="s">
        <v>222</v>
      </c>
      <c r="C7" s="246" t="s">
        <v>42</v>
      </c>
      <c r="D7" s="316" t="s">
        <v>534</v>
      </c>
      <c r="E7" s="246" t="s">
        <v>200</v>
      </c>
      <c r="F7" s="316" t="s">
        <v>432</v>
      </c>
      <c r="G7" s="86" t="s">
        <v>207</v>
      </c>
      <c r="H7" s="166">
        <v>5103.08</v>
      </c>
      <c r="I7" s="166">
        <v>5260.9</v>
      </c>
      <c r="J7" s="199">
        <v>6303.2</v>
      </c>
      <c r="K7" s="199">
        <v>6303.2</v>
      </c>
      <c r="L7" s="199">
        <v>6303.2</v>
      </c>
      <c r="M7" s="199">
        <f>SUM(H7:L7)</f>
        <v>29273.6</v>
      </c>
      <c r="N7" s="347"/>
    </row>
    <row r="8" spans="1:14" ht="36" customHeight="1">
      <c r="A8" s="323"/>
      <c r="B8" s="349"/>
      <c r="C8" s="294"/>
      <c r="D8" s="317"/>
      <c r="E8" s="294"/>
      <c r="F8" s="317"/>
      <c r="G8" s="86" t="s">
        <v>111</v>
      </c>
      <c r="H8" s="166">
        <v>1.82</v>
      </c>
      <c r="I8" s="166"/>
      <c r="J8" s="199"/>
      <c r="K8" s="199"/>
      <c r="L8" s="199"/>
      <c r="M8" s="199">
        <f aca="true" t="shared" si="0" ref="M8:M45">SUM(H8:L8)</f>
        <v>1.8</v>
      </c>
      <c r="N8" s="294"/>
    </row>
    <row r="9" spans="1:14" ht="36" customHeight="1">
      <c r="A9" s="323"/>
      <c r="B9" s="349"/>
      <c r="C9" s="294"/>
      <c r="D9" s="317"/>
      <c r="E9" s="294"/>
      <c r="F9" s="317"/>
      <c r="G9" s="86" t="s">
        <v>205</v>
      </c>
      <c r="H9" s="166">
        <v>3720.52</v>
      </c>
      <c r="I9" s="166">
        <v>4104.2</v>
      </c>
      <c r="J9" s="199">
        <v>5306.2</v>
      </c>
      <c r="K9" s="199">
        <v>5306</v>
      </c>
      <c r="L9" s="199">
        <v>5306</v>
      </c>
      <c r="M9" s="199">
        <f t="shared" si="0"/>
        <v>23742.9</v>
      </c>
      <c r="N9" s="294"/>
    </row>
    <row r="10" spans="1:14" ht="35.25" customHeight="1">
      <c r="A10" s="323"/>
      <c r="B10" s="349"/>
      <c r="C10" s="294"/>
      <c r="D10" s="317"/>
      <c r="E10" s="294"/>
      <c r="F10" s="317"/>
      <c r="G10" s="86" t="s">
        <v>115</v>
      </c>
      <c r="H10" s="166">
        <v>6205.65</v>
      </c>
      <c r="I10" s="166">
        <f>6866.5-I11</f>
        <v>6781.5</v>
      </c>
      <c r="J10" s="199">
        <v>10550</v>
      </c>
      <c r="K10" s="199">
        <v>10550</v>
      </c>
      <c r="L10" s="199">
        <v>10550</v>
      </c>
      <c r="M10" s="199">
        <f t="shared" si="0"/>
        <v>44637.2</v>
      </c>
      <c r="N10" s="294"/>
    </row>
    <row r="11" spans="1:14" ht="35.25" customHeight="1">
      <c r="A11" s="323"/>
      <c r="B11" s="349"/>
      <c r="C11" s="294"/>
      <c r="D11" s="317"/>
      <c r="E11" s="294"/>
      <c r="F11" s="317"/>
      <c r="G11" s="86" t="s">
        <v>209</v>
      </c>
      <c r="H11" s="166">
        <f>6510.23-H10</f>
        <v>304.58</v>
      </c>
      <c r="I11" s="166">
        <v>85</v>
      </c>
      <c r="J11" s="199"/>
      <c r="K11" s="199"/>
      <c r="L11" s="199"/>
      <c r="M11" s="199">
        <f t="shared" si="0"/>
        <v>389.6</v>
      </c>
      <c r="N11" s="294"/>
    </row>
    <row r="12" spans="1:14" ht="35.25" customHeight="1">
      <c r="A12" s="323"/>
      <c r="B12" s="349"/>
      <c r="C12" s="294"/>
      <c r="D12" s="317"/>
      <c r="E12" s="294"/>
      <c r="F12" s="317"/>
      <c r="G12" s="86" t="s">
        <v>176</v>
      </c>
      <c r="H12" s="166">
        <v>203</v>
      </c>
      <c r="I12" s="166"/>
      <c r="J12" s="199"/>
      <c r="K12" s="199"/>
      <c r="L12" s="199"/>
      <c r="M12" s="199">
        <f t="shared" si="0"/>
        <v>203</v>
      </c>
      <c r="N12" s="294"/>
    </row>
    <row r="13" spans="1:14" ht="35.25" customHeight="1">
      <c r="A13" s="323"/>
      <c r="B13" s="349"/>
      <c r="C13" s="294"/>
      <c r="D13" s="317"/>
      <c r="E13" s="294"/>
      <c r="F13" s="317"/>
      <c r="G13" s="86" t="s">
        <v>263</v>
      </c>
      <c r="H13" s="166">
        <v>4.71</v>
      </c>
      <c r="I13" s="166">
        <v>28</v>
      </c>
      <c r="J13" s="199">
        <v>28</v>
      </c>
      <c r="K13" s="199">
        <v>28</v>
      </c>
      <c r="L13" s="199">
        <v>28</v>
      </c>
      <c r="M13" s="199">
        <f t="shared" si="0"/>
        <v>116.7</v>
      </c>
      <c r="N13" s="294"/>
    </row>
    <row r="14" spans="1:14" ht="70.5" customHeight="1">
      <c r="A14" s="324"/>
      <c r="B14" s="152" t="s">
        <v>415</v>
      </c>
      <c r="C14" s="11" t="s">
        <v>42</v>
      </c>
      <c r="D14" s="86" t="s">
        <v>534</v>
      </c>
      <c r="E14" s="11" t="s">
        <v>200</v>
      </c>
      <c r="F14" s="102" t="s">
        <v>433</v>
      </c>
      <c r="G14" s="86" t="s">
        <v>205</v>
      </c>
      <c r="H14" s="166"/>
      <c r="I14" s="166">
        <v>356.2</v>
      </c>
      <c r="J14" s="199"/>
      <c r="K14" s="199"/>
      <c r="L14" s="199"/>
      <c r="M14" s="199">
        <f t="shared" si="0"/>
        <v>356.2</v>
      </c>
      <c r="N14" s="294"/>
    </row>
    <row r="15" spans="1:14" ht="64.5" customHeight="1">
      <c r="A15" s="346" t="s">
        <v>282</v>
      </c>
      <c r="B15" s="345" t="s">
        <v>223</v>
      </c>
      <c r="C15" s="276" t="s">
        <v>42</v>
      </c>
      <c r="D15" s="340" t="s">
        <v>534</v>
      </c>
      <c r="E15" s="276" t="s">
        <v>200</v>
      </c>
      <c r="F15" s="316" t="s">
        <v>434</v>
      </c>
      <c r="G15" s="11">
        <v>111</v>
      </c>
      <c r="H15" s="166">
        <v>0.6</v>
      </c>
      <c r="I15" s="166">
        <v>0.6</v>
      </c>
      <c r="J15" s="199">
        <v>1.3</v>
      </c>
      <c r="K15" s="199">
        <v>1.3</v>
      </c>
      <c r="L15" s="199">
        <v>1.3</v>
      </c>
      <c r="M15" s="199">
        <f>SUM(H15:L15)</f>
        <v>5.1</v>
      </c>
      <c r="N15" s="294"/>
    </row>
    <row r="16" spans="1:14" ht="64.5" customHeight="1">
      <c r="A16" s="346"/>
      <c r="B16" s="345"/>
      <c r="C16" s="276"/>
      <c r="D16" s="340"/>
      <c r="E16" s="276"/>
      <c r="F16" s="318"/>
      <c r="G16" s="11">
        <v>612</v>
      </c>
      <c r="H16" s="166">
        <v>0.6</v>
      </c>
      <c r="I16" s="166">
        <v>0.6</v>
      </c>
      <c r="J16" s="199">
        <v>1.2</v>
      </c>
      <c r="K16" s="199">
        <v>1.2</v>
      </c>
      <c r="L16" s="199">
        <v>1.2</v>
      </c>
      <c r="M16" s="199">
        <f t="shared" si="0"/>
        <v>4.8</v>
      </c>
      <c r="N16" s="294"/>
    </row>
    <row r="17" spans="1:14" ht="43.5" customHeight="1">
      <c r="A17" s="322" t="s">
        <v>283</v>
      </c>
      <c r="B17" s="329" t="s">
        <v>224</v>
      </c>
      <c r="C17" s="276" t="s">
        <v>42</v>
      </c>
      <c r="D17" s="340" t="s">
        <v>534</v>
      </c>
      <c r="E17" s="276" t="s">
        <v>200</v>
      </c>
      <c r="F17" s="316" t="s">
        <v>435</v>
      </c>
      <c r="G17" s="11">
        <v>111</v>
      </c>
      <c r="H17" s="166">
        <v>696.7</v>
      </c>
      <c r="I17" s="166">
        <v>1565.7</v>
      </c>
      <c r="J17" s="199">
        <v>2567.1</v>
      </c>
      <c r="K17" s="199">
        <v>2567.1</v>
      </c>
      <c r="L17" s="199">
        <v>2567.1</v>
      </c>
      <c r="M17" s="199">
        <f t="shared" si="0"/>
        <v>9963.7</v>
      </c>
      <c r="N17" s="294"/>
    </row>
    <row r="18" spans="1:14" ht="43.5" customHeight="1">
      <c r="A18" s="323"/>
      <c r="B18" s="349"/>
      <c r="C18" s="276"/>
      <c r="D18" s="340"/>
      <c r="E18" s="276"/>
      <c r="F18" s="318"/>
      <c r="G18" s="11">
        <v>612</v>
      </c>
      <c r="H18" s="166">
        <v>368.25</v>
      </c>
      <c r="I18" s="166">
        <v>1121</v>
      </c>
      <c r="J18" s="199">
        <v>1716</v>
      </c>
      <c r="K18" s="199">
        <v>1716</v>
      </c>
      <c r="L18" s="199">
        <v>1716</v>
      </c>
      <c r="M18" s="199">
        <f t="shared" si="0"/>
        <v>6637.3</v>
      </c>
      <c r="N18" s="294"/>
    </row>
    <row r="19" spans="1:14" ht="163.5" customHeight="1">
      <c r="A19" s="116" t="s">
        <v>284</v>
      </c>
      <c r="B19" s="153" t="s">
        <v>195</v>
      </c>
      <c r="C19" s="11" t="s">
        <v>42</v>
      </c>
      <c r="D19" s="86" t="s">
        <v>534</v>
      </c>
      <c r="E19" s="11" t="s">
        <v>200</v>
      </c>
      <c r="F19" s="102" t="s">
        <v>436</v>
      </c>
      <c r="G19" s="11">
        <v>612</v>
      </c>
      <c r="H19" s="166">
        <v>13.03</v>
      </c>
      <c r="I19" s="166"/>
      <c r="J19" s="199"/>
      <c r="K19" s="199"/>
      <c r="L19" s="199"/>
      <c r="M19" s="199">
        <f t="shared" si="0"/>
        <v>13</v>
      </c>
      <c r="N19" s="294"/>
    </row>
    <row r="20" spans="1:14" ht="30.75" customHeight="1">
      <c r="A20" s="322" t="s">
        <v>355</v>
      </c>
      <c r="B20" s="333" t="s">
        <v>225</v>
      </c>
      <c r="C20" s="246" t="s">
        <v>42</v>
      </c>
      <c r="D20" s="316" t="s">
        <v>534</v>
      </c>
      <c r="E20" s="246" t="s">
        <v>200</v>
      </c>
      <c r="F20" s="316" t="s">
        <v>437</v>
      </c>
      <c r="G20" s="11" t="s">
        <v>207</v>
      </c>
      <c r="H20" s="166">
        <f>4767.76-H22</f>
        <v>4608.13</v>
      </c>
      <c r="I20" s="166">
        <f>6085.4-59.56</f>
        <v>6025.84</v>
      </c>
      <c r="J20" s="199">
        <v>7548</v>
      </c>
      <c r="K20" s="199">
        <v>7548</v>
      </c>
      <c r="L20" s="199">
        <v>7548</v>
      </c>
      <c r="M20" s="199">
        <f t="shared" si="0"/>
        <v>33278</v>
      </c>
      <c r="N20" s="294"/>
    </row>
    <row r="21" spans="1:14" ht="30.75" customHeight="1">
      <c r="A21" s="323"/>
      <c r="B21" s="334"/>
      <c r="C21" s="294"/>
      <c r="D21" s="317"/>
      <c r="E21" s="294"/>
      <c r="F21" s="317"/>
      <c r="G21" s="11" t="s">
        <v>111</v>
      </c>
      <c r="H21" s="166"/>
      <c r="I21" s="166">
        <v>59.56</v>
      </c>
      <c r="J21" s="199"/>
      <c r="K21" s="199"/>
      <c r="L21" s="199"/>
      <c r="M21" s="199">
        <f t="shared" si="0"/>
        <v>59.6</v>
      </c>
      <c r="N21" s="294"/>
    </row>
    <row r="22" spans="1:14" ht="30.75" customHeight="1">
      <c r="A22" s="323"/>
      <c r="B22" s="334"/>
      <c r="C22" s="294"/>
      <c r="D22" s="317"/>
      <c r="E22" s="294"/>
      <c r="F22" s="317"/>
      <c r="G22" s="11" t="s">
        <v>336</v>
      </c>
      <c r="H22" s="166">
        <v>159.63</v>
      </c>
      <c r="I22" s="166"/>
      <c r="J22" s="199"/>
      <c r="K22" s="199"/>
      <c r="L22" s="199"/>
      <c r="M22" s="199">
        <f t="shared" si="0"/>
        <v>159.6</v>
      </c>
      <c r="N22" s="294"/>
    </row>
    <row r="23" spans="1:14" ht="30.75" customHeight="1">
      <c r="A23" s="323"/>
      <c r="B23" s="334"/>
      <c r="C23" s="294"/>
      <c r="D23" s="317"/>
      <c r="E23" s="294"/>
      <c r="F23" s="317"/>
      <c r="G23" s="11" t="s">
        <v>205</v>
      </c>
      <c r="H23" s="166">
        <v>182.64</v>
      </c>
      <c r="I23" s="166">
        <v>300.3</v>
      </c>
      <c r="J23" s="199">
        <v>260.9</v>
      </c>
      <c r="K23" s="199">
        <v>260.9</v>
      </c>
      <c r="L23" s="199">
        <v>260.9</v>
      </c>
      <c r="M23" s="199">
        <f t="shared" si="0"/>
        <v>1265.6</v>
      </c>
      <c r="N23" s="294"/>
    </row>
    <row r="24" spans="1:14" ht="30.75" customHeight="1">
      <c r="A24" s="323"/>
      <c r="B24" s="334"/>
      <c r="C24" s="294"/>
      <c r="D24" s="317"/>
      <c r="E24" s="294"/>
      <c r="F24" s="317"/>
      <c r="G24" s="11" t="s">
        <v>115</v>
      </c>
      <c r="H24" s="166">
        <v>6536.08</v>
      </c>
      <c r="I24" s="166">
        <v>7287.2</v>
      </c>
      <c r="J24" s="199">
        <f>7318-73</f>
        <v>7245</v>
      </c>
      <c r="K24" s="199">
        <f>7318</f>
        <v>7318</v>
      </c>
      <c r="L24" s="199">
        <f>7318</f>
        <v>7318</v>
      </c>
      <c r="M24" s="199">
        <f t="shared" si="0"/>
        <v>35704.3</v>
      </c>
      <c r="N24" s="294"/>
    </row>
    <row r="25" spans="1:14" ht="30.75" customHeight="1">
      <c r="A25" s="324"/>
      <c r="B25" s="335"/>
      <c r="C25" s="247"/>
      <c r="D25" s="318"/>
      <c r="E25" s="247"/>
      <c r="F25" s="318"/>
      <c r="G25" s="11" t="s">
        <v>209</v>
      </c>
      <c r="H25" s="166">
        <v>85.42</v>
      </c>
      <c r="I25" s="166"/>
      <c r="J25" s="199">
        <v>73</v>
      </c>
      <c r="K25" s="199"/>
      <c r="L25" s="199"/>
      <c r="M25" s="199">
        <f t="shared" si="0"/>
        <v>158.4</v>
      </c>
      <c r="N25" s="247"/>
    </row>
    <row r="26" spans="1:14" ht="94.5" customHeight="1">
      <c r="A26" s="322"/>
      <c r="B26" s="333" t="s">
        <v>463</v>
      </c>
      <c r="C26" s="246" t="s">
        <v>531</v>
      </c>
      <c r="D26" s="316" t="s">
        <v>534</v>
      </c>
      <c r="E26" s="246" t="s">
        <v>461</v>
      </c>
      <c r="F26" s="316" t="s">
        <v>462</v>
      </c>
      <c r="G26" s="11">
        <v>111</v>
      </c>
      <c r="H26" s="166"/>
      <c r="I26" s="166"/>
      <c r="J26" s="199">
        <v>5817.4</v>
      </c>
      <c r="K26" s="199">
        <v>5817.4</v>
      </c>
      <c r="L26" s="199">
        <v>5817.4</v>
      </c>
      <c r="M26" s="199">
        <f t="shared" si="0"/>
        <v>17452.2</v>
      </c>
      <c r="N26" s="183"/>
    </row>
    <row r="27" spans="1:14" ht="94.5" customHeight="1">
      <c r="A27" s="323"/>
      <c r="B27" s="334"/>
      <c r="C27" s="294"/>
      <c r="D27" s="317"/>
      <c r="E27" s="294"/>
      <c r="F27" s="317"/>
      <c r="G27" s="11">
        <v>244</v>
      </c>
      <c r="H27" s="166"/>
      <c r="I27" s="166"/>
      <c r="J27" s="199">
        <v>60</v>
      </c>
      <c r="K27" s="199">
        <v>60</v>
      </c>
      <c r="L27" s="199">
        <v>60</v>
      </c>
      <c r="M27" s="199">
        <f t="shared" si="0"/>
        <v>180</v>
      </c>
      <c r="N27" s="183"/>
    </row>
    <row r="28" spans="1:14" ht="94.5" customHeight="1">
      <c r="A28" s="324"/>
      <c r="B28" s="335"/>
      <c r="C28" s="247"/>
      <c r="D28" s="318"/>
      <c r="E28" s="247"/>
      <c r="F28" s="318"/>
      <c r="G28" s="11" t="s">
        <v>460</v>
      </c>
      <c r="H28" s="166"/>
      <c r="I28" s="166"/>
      <c r="J28" s="199">
        <v>2150</v>
      </c>
      <c r="K28" s="199">
        <v>2150</v>
      </c>
      <c r="L28" s="199">
        <v>2150</v>
      </c>
      <c r="M28" s="199">
        <f t="shared" si="0"/>
        <v>6450</v>
      </c>
      <c r="N28" s="183"/>
    </row>
    <row r="29" spans="1:14" ht="69.75" customHeight="1">
      <c r="A29" s="322" t="s">
        <v>285</v>
      </c>
      <c r="B29" s="288" t="s">
        <v>117</v>
      </c>
      <c r="C29" s="316" t="s">
        <v>531</v>
      </c>
      <c r="D29" s="322" t="s">
        <v>534</v>
      </c>
      <c r="E29" s="322" t="s">
        <v>200</v>
      </c>
      <c r="F29" s="322" t="s">
        <v>165</v>
      </c>
      <c r="G29" s="11" t="s">
        <v>207</v>
      </c>
      <c r="H29" s="166">
        <v>501.9</v>
      </c>
      <c r="I29" s="166">
        <v>438.1</v>
      </c>
      <c r="J29" s="199"/>
      <c r="K29" s="199"/>
      <c r="L29" s="199"/>
      <c r="M29" s="199">
        <f t="shared" si="0"/>
        <v>940</v>
      </c>
      <c r="N29" s="246" t="s">
        <v>189</v>
      </c>
    </row>
    <row r="30" spans="1:14" ht="69.75" customHeight="1">
      <c r="A30" s="324"/>
      <c r="B30" s="332" t="s">
        <v>116</v>
      </c>
      <c r="C30" s="318"/>
      <c r="D30" s="324"/>
      <c r="E30" s="324"/>
      <c r="F30" s="324"/>
      <c r="G30" s="11" t="s">
        <v>209</v>
      </c>
      <c r="H30" s="166">
        <v>432</v>
      </c>
      <c r="I30" s="166">
        <v>432</v>
      </c>
      <c r="J30" s="199"/>
      <c r="K30" s="199"/>
      <c r="L30" s="199"/>
      <c r="M30" s="199">
        <f t="shared" si="0"/>
        <v>864</v>
      </c>
      <c r="N30" s="247"/>
    </row>
    <row r="31" spans="1:15" ht="129.75" customHeight="1">
      <c r="A31" s="322" t="s">
        <v>286</v>
      </c>
      <c r="B31" s="329" t="s">
        <v>226</v>
      </c>
      <c r="C31" s="246" t="s">
        <v>531</v>
      </c>
      <c r="D31" s="316" t="s">
        <v>534</v>
      </c>
      <c r="E31" s="246" t="s">
        <v>202</v>
      </c>
      <c r="F31" s="316" t="s">
        <v>438</v>
      </c>
      <c r="G31" s="11">
        <v>244</v>
      </c>
      <c r="H31" s="166">
        <f>25.2+8.4</f>
        <v>33.6</v>
      </c>
      <c r="I31" s="166">
        <v>42</v>
      </c>
      <c r="J31" s="199"/>
      <c r="K31" s="199"/>
      <c r="L31" s="199"/>
      <c r="M31" s="199">
        <f t="shared" si="0"/>
        <v>75.6</v>
      </c>
      <c r="N31" s="246" t="s">
        <v>488</v>
      </c>
      <c r="O31" s="1">
        <v>2</v>
      </c>
    </row>
    <row r="32" spans="1:14" ht="129.75" customHeight="1">
      <c r="A32" s="324"/>
      <c r="B32" s="330"/>
      <c r="C32" s="247"/>
      <c r="D32" s="318"/>
      <c r="E32" s="247"/>
      <c r="F32" s="318"/>
      <c r="G32" s="11">
        <v>612</v>
      </c>
      <c r="H32" s="166">
        <v>33.6</v>
      </c>
      <c r="I32" s="166">
        <v>25.2</v>
      </c>
      <c r="J32" s="199">
        <v>25.2</v>
      </c>
      <c r="K32" s="199">
        <v>25.2</v>
      </c>
      <c r="L32" s="199">
        <v>25.2</v>
      </c>
      <c r="M32" s="199">
        <f t="shared" si="0"/>
        <v>134.4</v>
      </c>
      <c r="N32" s="247"/>
    </row>
    <row r="33" spans="1:14" ht="95.25" customHeight="1">
      <c r="A33" s="322" t="s">
        <v>287</v>
      </c>
      <c r="B33" s="288" t="s">
        <v>337</v>
      </c>
      <c r="C33" s="246" t="s">
        <v>531</v>
      </c>
      <c r="D33" s="316" t="s">
        <v>534</v>
      </c>
      <c r="E33" s="246" t="s">
        <v>275</v>
      </c>
      <c r="F33" s="316" t="s">
        <v>439</v>
      </c>
      <c r="G33" s="11">
        <v>244</v>
      </c>
      <c r="H33" s="166">
        <v>8.18</v>
      </c>
      <c r="I33" s="212">
        <v>8.2</v>
      </c>
      <c r="J33" s="199">
        <v>10</v>
      </c>
      <c r="K33" s="199">
        <v>10</v>
      </c>
      <c r="L33" s="199">
        <v>10</v>
      </c>
      <c r="M33" s="199">
        <f t="shared" si="0"/>
        <v>46.4</v>
      </c>
      <c r="N33" s="246" t="s">
        <v>486</v>
      </c>
    </row>
    <row r="34" spans="1:15" ht="162" customHeight="1">
      <c r="A34" s="324"/>
      <c r="B34" s="332"/>
      <c r="C34" s="247"/>
      <c r="D34" s="318"/>
      <c r="E34" s="247"/>
      <c r="F34" s="318"/>
      <c r="G34" s="11">
        <v>321</v>
      </c>
      <c r="H34" s="166">
        <v>401.02</v>
      </c>
      <c r="I34" s="212">
        <v>323.5</v>
      </c>
      <c r="J34" s="199">
        <v>502</v>
      </c>
      <c r="K34" s="199">
        <v>502</v>
      </c>
      <c r="L34" s="199">
        <v>502</v>
      </c>
      <c r="M34" s="199">
        <f t="shared" si="0"/>
        <v>2230.5</v>
      </c>
      <c r="N34" s="247"/>
      <c r="O34" s="1" t="s">
        <v>330</v>
      </c>
    </row>
    <row r="35" spans="1:14" ht="51" customHeight="1">
      <c r="A35" s="322" t="s">
        <v>421</v>
      </c>
      <c r="B35" s="246" t="s">
        <v>221</v>
      </c>
      <c r="C35" s="11" t="s">
        <v>528</v>
      </c>
      <c r="D35" s="86" t="s">
        <v>207</v>
      </c>
      <c r="E35" s="115" t="s">
        <v>200</v>
      </c>
      <c r="F35" s="86" t="s">
        <v>167</v>
      </c>
      <c r="G35" s="11">
        <v>412</v>
      </c>
      <c r="H35" s="203">
        <v>102866.4</v>
      </c>
      <c r="I35" s="166"/>
      <c r="J35" s="199"/>
      <c r="K35" s="199"/>
      <c r="L35" s="199"/>
      <c r="M35" s="199">
        <f t="shared" si="0"/>
        <v>102866.4</v>
      </c>
      <c r="N35" s="246" t="s">
        <v>490</v>
      </c>
    </row>
    <row r="36" spans="1:14" ht="51" customHeight="1">
      <c r="A36" s="325"/>
      <c r="B36" s="325"/>
      <c r="C36" s="115" t="s">
        <v>531</v>
      </c>
      <c r="D36" s="102" t="s">
        <v>534</v>
      </c>
      <c r="E36" s="115" t="s">
        <v>200</v>
      </c>
      <c r="F36" s="102" t="s">
        <v>269</v>
      </c>
      <c r="G36" s="115">
        <v>244</v>
      </c>
      <c r="H36" s="204">
        <v>97.5</v>
      </c>
      <c r="I36" s="201"/>
      <c r="J36" s="202"/>
      <c r="K36" s="202"/>
      <c r="L36" s="202"/>
      <c r="M36" s="199">
        <f t="shared" si="0"/>
        <v>97.5</v>
      </c>
      <c r="N36" s="294"/>
    </row>
    <row r="37" spans="1:14" ht="51" customHeight="1">
      <c r="A37" s="325"/>
      <c r="B37" s="325"/>
      <c r="C37" s="115" t="s">
        <v>537</v>
      </c>
      <c r="D37" s="102" t="s">
        <v>207</v>
      </c>
      <c r="E37" s="115" t="s">
        <v>200</v>
      </c>
      <c r="F37" s="102" t="s">
        <v>269</v>
      </c>
      <c r="G37" s="115">
        <v>244</v>
      </c>
      <c r="H37" s="204"/>
      <c r="I37" s="201"/>
      <c r="J37" s="202"/>
      <c r="K37" s="202"/>
      <c r="L37" s="202"/>
      <c r="M37" s="199">
        <f t="shared" si="0"/>
        <v>0</v>
      </c>
      <c r="N37" s="294"/>
    </row>
    <row r="38" spans="1:14" ht="51" customHeight="1">
      <c r="A38" s="325"/>
      <c r="B38" s="325"/>
      <c r="C38" s="115" t="s">
        <v>537</v>
      </c>
      <c r="D38" s="102" t="s">
        <v>207</v>
      </c>
      <c r="E38" s="115" t="s">
        <v>200</v>
      </c>
      <c r="F38" s="102" t="s">
        <v>168</v>
      </c>
      <c r="G38" s="115">
        <v>244</v>
      </c>
      <c r="H38" s="204">
        <v>2.68</v>
      </c>
      <c r="I38" s="201"/>
      <c r="J38" s="202"/>
      <c r="K38" s="202"/>
      <c r="L38" s="202"/>
      <c r="M38" s="199">
        <f t="shared" si="0"/>
        <v>2.7</v>
      </c>
      <c r="N38" s="294"/>
    </row>
    <row r="39" spans="1:14" ht="51" customHeight="1">
      <c r="A39" s="325"/>
      <c r="B39" s="325"/>
      <c r="C39" s="115" t="s">
        <v>537</v>
      </c>
      <c r="D39" s="102" t="s">
        <v>207</v>
      </c>
      <c r="E39" s="115" t="s">
        <v>200</v>
      </c>
      <c r="F39" s="102" t="s">
        <v>178</v>
      </c>
      <c r="G39" s="115">
        <v>244</v>
      </c>
      <c r="H39" s="204">
        <v>311.59</v>
      </c>
      <c r="I39" s="201"/>
      <c r="J39" s="202"/>
      <c r="K39" s="202"/>
      <c r="L39" s="202"/>
      <c r="M39" s="199">
        <f t="shared" si="0"/>
        <v>311.6</v>
      </c>
      <c r="N39" s="294"/>
    </row>
    <row r="40" spans="1:14" ht="51" customHeight="1">
      <c r="A40" s="325"/>
      <c r="B40" s="325"/>
      <c r="C40" s="115" t="s">
        <v>537</v>
      </c>
      <c r="D40" s="102" t="s">
        <v>207</v>
      </c>
      <c r="E40" s="115" t="s">
        <v>200</v>
      </c>
      <c r="F40" s="102" t="s">
        <v>179</v>
      </c>
      <c r="G40" s="115">
        <v>244</v>
      </c>
      <c r="H40" s="204">
        <v>2641.9</v>
      </c>
      <c r="I40" s="201"/>
      <c r="J40" s="202"/>
      <c r="K40" s="202"/>
      <c r="L40" s="202"/>
      <c r="M40" s="199">
        <f t="shared" si="0"/>
        <v>2641.9</v>
      </c>
      <c r="N40" s="294"/>
    </row>
    <row r="41" spans="1:14" ht="51" customHeight="1">
      <c r="A41" s="326"/>
      <c r="B41" s="326"/>
      <c r="C41" s="115" t="s">
        <v>537</v>
      </c>
      <c r="D41" s="102" t="s">
        <v>207</v>
      </c>
      <c r="E41" s="115" t="s">
        <v>200</v>
      </c>
      <c r="F41" s="102" t="s">
        <v>169</v>
      </c>
      <c r="G41" s="115">
        <v>244</v>
      </c>
      <c r="H41" s="204">
        <v>257.7</v>
      </c>
      <c r="I41" s="201"/>
      <c r="J41" s="202"/>
      <c r="K41" s="202"/>
      <c r="L41" s="202"/>
      <c r="M41" s="199">
        <f t="shared" si="0"/>
        <v>257.7</v>
      </c>
      <c r="N41" s="294"/>
    </row>
    <row r="42" spans="1:14" ht="193.5" customHeight="1">
      <c r="A42" s="35" t="s">
        <v>183</v>
      </c>
      <c r="B42" s="85" t="s">
        <v>425</v>
      </c>
      <c r="C42" s="11" t="s">
        <v>528</v>
      </c>
      <c r="D42" s="86" t="s">
        <v>207</v>
      </c>
      <c r="E42" s="115" t="s">
        <v>200</v>
      </c>
      <c r="F42" s="86" t="s">
        <v>440</v>
      </c>
      <c r="G42" s="11">
        <v>414</v>
      </c>
      <c r="H42" s="203">
        <v>516.9</v>
      </c>
      <c r="I42" s="166">
        <v>656.6</v>
      </c>
      <c r="J42" s="199"/>
      <c r="K42" s="199"/>
      <c r="L42" s="199"/>
      <c r="M42" s="199">
        <f t="shared" si="0"/>
        <v>1173.5</v>
      </c>
      <c r="N42" s="294"/>
    </row>
    <row r="43" spans="1:14" ht="193.5" customHeight="1">
      <c r="A43" s="35" t="s">
        <v>422</v>
      </c>
      <c r="B43" s="85" t="s">
        <v>423</v>
      </c>
      <c r="C43" s="115" t="s">
        <v>537</v>
      </c>
      <c r="D43" s="102" t="s">
        <v>207</v>
      </c>
      <c r="E43" s="115" t="s">
        <v>200</v>
      </c>
      <c r="F43" s="102" t="s">
        <v>420</v>
      </c>
      <c r="G43" s="115">
        <v>414</v>
      </c>
      <c r="H43" s="204"/>
      <c r="I43" s="227">
        <v>83271.8</v>
      </c>
      <c r="J43" s="202"/>
      <c r="K43" s="202"/>
      <c r="L43" s="202"/>
      <c r="M43" s="199">
        <f t="shared" si="0"/>
        <v>83271.8</v>
      </c>
      <c r="N43" s="247"/>
    </row>
    <row r="44" spans="1:14" ht="78.75" customHeight="1">
      <c r="A44" s="35" t="s">
        <v>424</v>
      </c>
      <c r="B44" s="131" t="s">
        <v>456</v>
      </c>
      <c r="C44" s="115" t="s">
        <v>537</v>
      </c>
      <c r="D44" s="102" t="s">
        <v>207</v>
      </c>
      <c r="E44" s="115" t="s">
        <v>200</v>
      </c>
      <c r="F44" s="102" t="s">
        <v>457</v>
      </c>
      <c r="G44" s="115">
        <v>244</v>
      </c>
      <c r="H44" s="204"/>
      <c r="I44" s="227">
        <v>1200</v>
      </c>
      <c r="J44" s="202"/>
      <c r="K44" s="202"/>
      <c r="L44" s="202"/>
      <c r="M44" s="199">
        <f t="shared" si="0"/>
        <v>1200</v>
      </c>
      <c r="N44" s="183"/>
    </row>
    <row r="45" spans="1:14" ht="130.5" customHeight="1">
      <c r="A45" s="322" t="s">
        <v>455</v>
      </c>
      <c r="B45" s="288" t="s">
        <v>170</v>
      </c>
      <c r="C45" s="357" t="s">
        <v>558</v>
      </c>
      <c r="D45" s="316" t="s">
        <v>114</v>
      </c>
      <c r="E45" s="246" t="s">
        <v>202</v>
      </c>
      <c r="F45" s="316" t="s">
        <v>166</v>
      </c>
      <c r="G45" s="115">
        <v>244</v>
      </c>
      <c r="H45" s="204">
        <v>125</v>
      </c>
      <c r="I45" s="201"/>
      <c r="J45" s="202"/>
      <c r="K45" s="202"/>
      <c r="L45" s="202"/>
      <c r="M45" s="199">
        <f t="shared" si="0"/>
        <v>125</v>
      </c>
      <c r="N45" s="246" t="s">
        <v>194</v>
      </c>
    </row>
    <row r="46" spans="1:14" ht="130.5" customHeight="1">
      <c r="A46" s="324"/>
      <c r="B46" s="332"/>
      <c r="C46" s="358"/>
      <c r="D46" s="318"/>
      <c r="E46" s="247"/>
      <c r="F46" s="318"/>
      <c r="G46" s="115">
        <v>313</v>
      </c>
      <c r="H46" s="204">
        <v>8571.5</v>
      </c>
      <c r="I46" s="201"/>
      <c r="J46" s="202"/>
      <c r="K46" s="202"/>
      <c r="L46" s="202"/>
      <c r="M46" s="199">
        <f>SUM(H46:L46)</f>
        <v>8571.5</v>
      </c>
      <c r="N46" s="247"/>
    </row>
    <row r="47" spans="1:14" ht="22.5" customHeight="1">
      <c r="A47" s="348" t="s">
        <v>58</v>
      </c>
      <c r="B47" s="348"/>
      <c r="C47" s="87"/>
      <c r="D47" s="34"/>
      <c r="E47" s="34"/>
      <c r="F47" s="34"/>
      <c r="G47" s="34"/>
      <c r="H47" s="166">
        <f aca="true" t="shared" si="1" ref="H47:M47">SUM(H7:H46)</f>
        <v>144995.91</v>
      </c>
      <c r="I47" s="166">
        <f t="shared" si="1"/>
        <v>119374</v>
      </c>
      <c r="J47" s="199">
        <f t="shared" si="1"/>
        <v>50164.5</v>
      </c>
      <c r="K47" s="199">
        <f>SUM(K7:K46)</f>
        <v>50164.3</v>
      </c>
      <c r="L47" s="199">
        <f t="shared" si="1"/>
        <v>50164.3</v>
      </c>
      <c r="M47" s="199">
        <f t="shared" si="1"/>
        <v>414863.1</v>
      </c>
      <c r="N47" s="31"/>
    </row>
    <row r="48" spans="1:14" ht="21.75" customHeight="1">
      <c r="A48" s="342" t="s">
        <v>321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4"/>
    </row>
    <row r="49" spans="1:14" ht="30.75" customHeight="1">
      <c r="A49" s="316" t="s">
        <v>184</v>
      </c>
      <c r="B49" s="313" t="s">
        <v>227</v>
      </c>
      <c r="C49" s="246" t="s">
        <v>541</v>
      </c>
      <c r="D49" s="316" t="s">
        <v>534</v>
      </c>
      <c r="E49" s="316" t="s">
        <v>203</v>
      </c>
      <c r="F49" s="316" t="s">
        <v>441</v>
      </c>
      <c r="G49" s="11">
        <v>111</v>
      </c>
      <c r="H49" s="166">
        <v>20509.31</v>
      </c>
      <c r="I49" s="166">
        <v>22364.6</v>
      </c>
      <c r="J49" s="199">
        <v>24957.2</v>
      </c>
      <c r="K49" s="199">
        <v>24957.2</v>
      </c>
      <c r="L49" s="199">
        <v>24957.2</v>
      </c>
      <c r="M49" s="199">
        <f aca="true" t="shared" si="2" ref="M49:M79">SUM(H49:L49)</f>
        <v>117745.5</v>
      </c>
      <c r="N49" s="246" t="s">
        <v>481</v>
      </c>
    </row>
    <row r="50" spans="1:14" ht="30.75" customHeight="1">
      <c r="A50" s="317"/>
      <c r="B50" s="356"/>
      <c r="C50" s="294"/>
      <c r="D50" s="317"/>
      <c r="E50" s="317"/>
      <c r="F50" s="317"/>
      <c r="G50" s="11" t="s">
        <v>111</v>
      </c>
      <c r="H50" s="166">
        <v>88.98</v>
      </c>
      <c r="I50" s="166"/>
      <c r="J50" s="199"/>
      <c r="K50" s="199"/>
      <c r="L50" s="199"/>
      <c r="M50" s="199">
        <f t="shared" si="2"/>
        <v>89</v>
      </c>
      <c r="N50" s="294"/>
    </row>
    <row r="51" spans="1:14" ht="30.75" customHeight="1">
      <c r="A51" s="317"/>
      <c r="B51" s="356"/>
      <c r="C51" s="294"/>
      <c r="D51" s="317"/>
      <c r="E51" s="317"/>
      <c r="F51" s="317"/>
      <c r="G51" s="11" t="s">
        <v>336</v>
      </c>
      <c r="H51" s="166">
        <v>354.17</v>
      </c>
      <c r="I51" s="166"/>
      <c r="J51" s="199"/>
      <c r="K51" s="199"/>
      <c r="L51" s="199"/>
      <c r="M51" s="199">
        <f t="shared" si="2"/>
        <v>354.2</v>
      </c>
      <c r="N51" s="294"/>
    </row>
    <row r="52" spans="1:14" ht="30.75" customHeight="1">
      <c r="A52" s="317"/>
      <c r="B52" s="356"/>
      <c r="C52" s="294"/>
      <c r="D52" s="317"/>
      <c r="E52" s="317"/>
      <c r="F52" s="317"/>
      <c r="G52" s="11" t="s">
        <v>205</v>
      </c>
      <c r="H52" s="166">
        <v>10714.29</v>
      </c>
      <c r="I52" s="166">
        <v>11324.5</v>
      </c>
      <c r="J52" s="199">
        <v>11090.4</v>
      </c>
      <c r="K52" s="199">
        <v>11090.4</v>
      </c>
      <c r="L52" s="199">
        <v>11090.4</v>
      </c>
      <c r="M52" s="199">
        <f t="shared" si="2"/>
        <v>55310</v>
      </c>
      <c r="N52" s="294"/>
    </row>
    <row r="53" spans="1:14" ht="30.75" customHeight="1">
      <c r="A53" s="317"/>
      <c r="B53" s="356"/>
      <c r="C53" s="294"/>
      <c r="D53" s="317"/>
      <c r="E53" s="317"/>
      <c r="F53" s="317"/>
      <c r="G53" s="11" t="s">
        <v>115</v>
      </c>
      <c r="H53" s="166">
        <v>10756.09</v>
      </c>
      <c r="I53" s="166">
        <v>12441.3</v>
      </c>
      <c r="J53" s="199">
        <v>11675.4</v>
      </c>
      <c r="K53" s="199">
        <v>9624.8</v>
      </c>
      <c r="L53" s="199">
        <v>7574.3</v>
      </c>
      <c r="M53" s="199">
        <f t="shared" si="2"/>
        <v>52071.9</v>
      </c>
      <c r="N53" s="294"/>
    </row>
    <row r="54" spans="1:14" ht="30.75" customHeight="1">
      <c r="A54" s="317"/>
      <c r="B54" s="356"/>
      <c r="C54" s="294"/>
      <c r="D54" s="317"/>
      <c r="E54" s="317"/>
      <c r="F54" s="317"/>
      <c r="G54" s="11">
        <v>612</v>
      </c>
      <c r="H54" s="166">
        <v>149</v>
      </c>
      <c r="I54" s="166"/>
      <c r="J54" s="199"/>
      <c r="K54" s="199"/>
      <c r="L54" s="199"/>
      <c r="M54" s="199">
        <f t="shared" si="2"/>
        <v>149</v>
      </c>
      <c r="N54" s="294"/>
    </row>
    <row r="55" spans="1:14" ht="30.75" customHeight="1">
      <c r="A55" s="317"/>
      <c r="B55" s="314"/>
      <c r="C55" s="294"/>
      <c r="D55" s="318"/>
      <c r="E55" s="318"/>
      <c r="F55" s="318"/>
      <c r="G55" s="11" t="s">
        <v>263</v>
      </c>
      <c r="H55" s="166">
        <v>29.9</v>
      </c>
      <c r="I55" s="166">
        <v>196</v>
      </c>
      <c r="J55" s="199">
        <v>204.6</v>
      </c>
      <c r="K55" s="199">
        <v>204.6</v>
      </c>
      <c r="L55" s="199">
        <v>204.6</v>
      </c>
      <c r="M55" s="199">
        <f t="shared" si="2"/>
        <v>839.7</v>
      </c>
      <c r="N55" s="294"/>
    </row>
    <row r="56" spans="1:14" ht="79.5" customHeight="1">
      <c r="A56" s="317"/>
      <c r="B56" s="191" t="s">
        <v>415</v>
      </c>
      <c r="C56" s="11" t="s">
        <v>541</v>
      </c>
      <c r="D56" s="163" t="s">
        <v>534</v>
      </c>
      <c r="E56" s="163" t="s">
        <v>203</v>
      </c>
      <c r="F56" s="163" t="s">
        <v>414</v>
      </c>
      <c r="G56" s="11">
        <v>244</v>
      </c>
      <c r="H56" s="166"/>
      <c r="I56" s="166">
        <v>692.5</v>
      </c>
      <c r="J56" s="199"/>
      <c r="K56" s="199"/>
      <c r="L56" s="199"/>
      <c r="M56" s="199">
        <f t="shared" si="2"/>
        <v>692.5</v>
      </c>
      <c r="N56" s="294"/>
    </row>
    <row r="57" spans="1:14" ht="45.75" customHeight="1">
      <c r="A57" s="317"/>
      <c r="B57" s="313" t="s">
        <v>224</v>
      </c>
      <c r="C57" s="246" t="s">
        <v>541</v>
      </c>
      <c r="D57" s="316" t="s">
        <v>534</v>
      </c>
      <c r="E57" s="316" t="s">
        <v>203</v>
      </c>
      <c r="F57" s="316" t="s">
        <v>435</v>
      </c>
      <c r="G57" s="11" t="s">
        <v>207</v>
      </c>
      <c r="H57" s="166">
        <v>3105.91</v>
      </c>
      <c r="I57" s="166">
        <v>6010.3</v>
      </c>
      <c r="J57" s="199">
        <v>10002.4</v>
      </c>
      <c r="K57" s="199">
        <v>10002.4</v>
      </c>
      <c r="L57" s="199">
        <v>10002.4</v>
      </c>
      <c r="M57" s="199">
        <f t="shared" si="2"/>
        <v>39123.4</v>
      </c>
      <c r="N57" s="294"/>
    </row>
    <row r="58" spans="1:14" ht="45.75" customHeight="1">
      <c r="A58" s="317"/>
      <c r="B58" s="314"/>
      <c r="C58" s="247"/>
      <c r="D58" s="318"/>
      <c r="E58" s="318"/>
      <c r="F58" s="318"/>
      <c r="G58" s="11" t="s">
        <v>209</v>
      </c>
      <c r="H58" s="166">
        <v>1009.92</v>
      </c>
      <c r="I58" s="166">
        <v>1676.5</v>
      </c>
      <c r="J58" s="199">
        <v>2786.2</v>
      </c>
      <c r="K58" s="199">
        <v>2786.2</v>
      </c>
      <c r="L58" s="199">
        <v>2786.2</v>
      </c>
      <c r="M58" s="199">
        <f t="shared" si="2"/>
        <v>11045</v>
      </c>
      <c r="N58" s="294"/>
    </row>
    <row r="59" spans="1:14" ht="73.5" customHeight="1">
      <c r="A59" s="317"/>
      <c r="B59" s="313" t="s">
        <v>195</v>
      </c>
      <c r="C59" s="246" t="s">
        <v>541</v>
      </c>
      <c r="D59" s="316" t="s">
        <v>534</v>
      </c>
      <c r="E59" s="316" t="s">
        <v>203</v>
      </c>
      <c r="F59" s="316" t="s">
        <v>177</v>
      </c>
      <c r="G59" s="11" t="s">
        <v>207</v>
      </c>
      <c r="H59" s="166">
        <v>201.92</v>
      </c>
      <c r="I59" s="166"/>
      <c r="J59" s="199"/>
      <c r="K59" s="199"/>
      <c r="L59" s="199"/>
      <c r="M59" s="199">
        <f t="shared" si="2"/>
        <v>201.9</v>
      </c>
      <c r="N59" s="294"/>
    </row>
    <row r="60" spans="1:14" ht="73.5" customHeight="1">
      <c r="A60" s="317"/>
      <c r="B60" s="314"/>
      <c r="C60" s="247"/>
      <c r="D60" s="318"/>
      <c r="E60" s="318"/>
      <c r="F60" s="318"/>
      <c r="G60" s="11" t="s">
        <v>209</v>
      </c>
      <c r="H60" s="166">
        <v>76.71</v>
      </c>
      <c r="I60" s="166"/>
      <c r="J60" s="199"/>
      <c r="K60" s="199"/>
      <c r="L60" s="199"/>
      <c r="M60" s="199">
        <f t="shared" si="2"/>
        <v>76.7</v>
      </c>
      <c r="N60" s="294"/>
    </row>
    <row r="61" spans="1:15" ht="33" customHeight="1">
      <c r="A61" s="317"/>
      <c r="B61" s="345" t="s">
        <v>228</v>
      </c>
      <c r="C61" s="246" t="s">
        <v>42</v>
      </c>
      <c r="D61" s="316" t="s">
        <v>534</v>
      </c>
      <c r="E61" s="316" t="s">
        <v>203</v>
      </c>
      <c r="F61" s="316" t="s">
        <v>491</v>
      </c>
      <c r="G61" s="11" t="s">
        <v>207</v>
      </c>
      <c r="H61" s="166">
        <f>60037.17-H62</f>
        <v>59857.75</v>
      </c>
      <c r="I61" s="166">
        <f>65361.9-299</f>
        <v>65062.9</v>
      </c>
      <c r="J61" s="199">
        <f>66655.4-150</f>
        <v>66505.4</v>
      </c>
      <c r="K61" s="199">
        <f>66655.4-150</f>
        <v>66505.4</v>
      </c>
      <c r="L61" s="199">
        <f>66655.4-150</f>
        <v>66505.4</v>
      </c>
      <c r="M61" s="199">
        <f t="shared" si="2"/>
        <v>324436.9</v>
      </c>
      <c r="N61" s="294"/>
      <c r="O61" s="1">
        <v>4</v>
      </c>
    </row>
    <row r="62" spans="1:14" ht="33" customHeight="1">
      <c r="A62" s="317"/>
      <c r="B62" s="345"/>
      <c r="C62" s="294"/>
      <c r="D62" s="317"/>
      <c r="E62" s="317"/>
      <c r="F62" s="317"/>
      <c r="G62" s="11" t="s">
        <v>111</v>
      </c>
      <c r="H62" s="166">
        <v>179.42</v>
      </c>
      <c r="I62" s="166">
        <v>299</v>
      </c>
      <c r="J62" s="199">
        <v>150</v>
      </c>
      <c r="K62" s="199">
        <v>150</v>
      </c>
      <c r="L62" s="199">
        <v>150</v>
      </c>
      <c r="M62" s="199">
        <f t="shared" si="2"/>
        <v>928.4</v>
      </c>
      <c r="N62" s="294"/>
    </row>
    <row r="63" spans="1:14" ht="33" customHeight="1">
      <c r="A63" s="317"/>
      <c r="B63" s="345"/>
      <c r="C63" s="294"/>
      <c r="D63" s="317"/>
      <c r="E63" s="317"/>
      <c r="F63" s="317"/>
      <c r="G63" s="11" t="s">
        <v>205</v>
      </c>
      <c r="H63" s="166">
        <v>3638.97</v>
      </c>
      <c r="I63" s="166">
        <f>2921-22.5-40</f>
        <v>2858.5</v>
      </c>
      <c r="J63" s="199">
        <f>355.3+3736.5</f>
        <v>4091.8</v>
      </c>
      <c r="K63" s="199">
        <v>3736.5</v>
      </c>
      <c r="L63" s="199">
        <v>3736.5</v>
      </c>
      <c r="M63" s="199">
        <f t="shared" si="2"/>
        <v>18062.3</v>
      </c>
      <c r="N63" s="294"/>
    </row>
    <row r="64" spans="1:14" ht="33" customHeight="1">
      <c r="A64" s="317"/>
      <c r="B64" s="345"/>
      <c r="C64" s="294"/>
      <c r="D64" s="317"/>
      <c r="E64" s="317"/>
      <c r="F64" s="317"/>
      <c r="G64" s="11" t="s">
        <v>115</v>
      </c>
      <c r="H64" s="166">
        <v>23172.68</v>
      </c>
      <c r="I64" s="166">
        <f>26123.4-308</f>
        <v>25815.4</v>
      </c>
      <c r="J64" s="199">
        <f>24374.5-200</f>
        <v>24174.5</v>
      </c>
      <c r="K64" s="199">
        <f>24374.5-200</f>
        <v>24174.5</v>
      </c>
      <c r="L64" s="199">
        <f>24374.5-200</f>
        <v>24174.5</v>
      </c>
      <c r="M64" s="199">
        <f t="shared" si="2"/>
        <v>121511.6</v>
      </c>
      <c r="N64" s="294"/>
    </row>
    <row r="65" spans="1:14" ht="33" customHeight="1">
      <c r="A65" s="318"/>
      <c r="B65" s="345"/>
      <c r="C65" s="294"/>
      <c r="D65" s="317"/>
      <c r="E65" s="317"/>
      <c r="F65" s="317"/>
      <c r="G65" s="11" t="s">
        <v>209</v>
      </c>
      <c r="H65" s="166">
        <v>380.08</v>
      </c>
      <c r="I65" s="166">
        <v>308</v>
      </c>
      <c r="J65" s="199">
        <v>200</v>
      </c>
      <c r="K65" s="199">
        <v>200</v>
      </c>
      <c r="L65" s="199">
        <v>200</v>
      </c>
      <c r="M65" s="199">
        <f t="shared" si="2"/>
        <v>1288.1</v>
      </c>
      <c r="N65" s="294"/>
    </row>
    <row r="66" spans="1:14" ht="102" customHeight="1">
      <c r="A66" s="322"/>
      <c r="B66" s="333" t="s">
        <v>466</v>
      </c>
      <c r="C66" s="246" t="s">
        <v>531</v>
      </c>
      <c r="D66" s="316" t="s">
        <v>534</v>
      </c>
      <c r="E66" s="246" t="s">
        <v>465</v>
      </c>
      <c r="F66" s="316" t="s">
        <v>464</v>
      </c>
      <c r="G66" s="11">
        <v>111</v>
      </c>
      <c r="H66" s="166"/>
      <c r="I66" s="166"/>
      <c r="J66" s="199">
        <v>9337.4</v>
      </c>
      <c r="K66" s="199">
        <v>9337.4</v>
      </c>
      <c r="L66" s="199">
        <v>9337.4</v>
      </c>
      <c r="M66" s="199">
        <f t="shared" si="2"/>
        <v>28012.2</v>
      </c>
      <c r="N66" s="183"/>
    </row>
    <row r="67" spans="1:14" ht="102" customHeight="1">
      <c r="A67" s="323"/>
      <c r="B67" s="334"/>
      <c r="C67" s="294"/>
      <c r="D67" s="317"/>
      <c r="E67" s="294"/>
      <c r="F67" s="317"/>
      <c r="G67" s="11">
        <v>244</v>
      </c>
      <c r="H67" s="166"/>
      <c r="I67" s="166"/>
      <c r="J67" s="199">
        <v>170</v>
      </c>
      <c r="K67" s="199">
        <v>170</v>
      </c>
      <c r="L67" s="199">
        <v>170</v>
      </c>
      <c r="M67" s="199">
        <f t="shared" si="2"/>
        <v>510</v>
      </c>
      <c r="N67" s="183"/>
    </row>
    <row r="68" spans="1:14" ht="102" customHeight="1">
      <c r="A68" s="324"/>
      <c r="B68" s="335"/>
      <c r="C68" s="247"/>
      <c r="D68" s="318"/>
      <c r="E68" s="247"/>
      <c r="F68" s="318"/>
      <c r="G68" s="11" t="s">
        <v>460</v>
      </c>
      <c r="H68" s="166"/>
      <c r="I68" s="166"/>
      <c r="J68" s="199">
        <v>3025.2</v>
      </c>
      <c r="K68" s="199">
        <v>3025.2</v>
      </c>
      <c r="L68" s="199">
        <v>3025.2</v>
      </c>
      <c r="M68" s="199">
        <f t="shared" si="2"/>
        <v>9075.6</v>
      </c>
      <c r="N68" s="183"/>
    </row>
    <row r="69" spans="1:14" ht="78" customHeight="1">
      <c r="A69" s="163" t="s">
        <v>356</v>
      </c>
      <c r="B69" s="169" t="s">
        <v>198</v>
      </c>
      <c r="C69" s="115" t="s">
        <v>541</v>
      </c>
      <c r="D69" s="102" t="s">
        <v>534</v>
      </c>
      <c r="E69" s="102" t="s">
        <v>203</v>
      </c>
      <c r="F69" s="102" t="s">
        <v>446</v>
      </c>
      <c r="G69" s="11">
        <v>244</v>
      </c>
      <c r="H69" s="166">
        <v>69.3</v>
      </c>
      <c r="I69" s="166">
        <v>145.4</v>
      </c>
      <c r="J69" s="199"/>
      <c r="K69" s="199"/>
      <c r="L69" s="199"/>
      <c r="M69" s="199">
        <f t="shared" si="2"/>
        <v>214.7</v>
      </c>
      <c r="N69" s="11" t="s">
        <v>392</v>
      </c>
    </row>
    <row r="70" spans="1:14" ht="78" customHeight="1">
      <c r="A70" s="317" t="s">
        <v>357</v>
      </c>
      <c r="B70" s="359" t="s">
        <v>229</v>
      </c>
      <c r="C70" s="246" t="s">
        <v>531</v>
      </c>
      <c r="D70" s="316" t="s">
        <v>534</v>
      </c>
      <c r="E70" s="316" t="s">
        <v>202</v>
      </c>
      <c r="F70" s="316" t="s">
        <v>467</v>
      </c>
      <c r="G70" s="11">
        <v>110</v>
      </c>
      <c r="H70" s="166"/>
      <c r="I70" s="212">
        <v>212.2</v>
      </c>
      <c r="J70" s="199"/>
      <c r="K70" s="199"/>
      <c r="L70" s="199"/>
      <c r="M70" s="199">
        <f t="shared" si="2"/>
        <v>212.2</v>
      </c>
      <c r="N70" s="115"/>
    </row>
    <row r="71" spans="1:14" ht="130.5" customHeight="1">
      <c r="A71" s="317"/>
      <c r="B71" s="360"/>
      <c r="C71" s="294"/>
      <c r="D71" s="317"/>
      <c r="E71" s="317"/>
      <c r="F71" s="317"/>
      <c r="G71" s="11" t="s">
        <v>205</v>
      </c>
      <c r="H71" s="166">
        <v>1793.48</v>
      </c>
      <c r="I71" s="212">
        <v>2426.2</v>
      </c>
      <c r="J71" s="199">
        <v>2612.9</v>
      </c>
      <c r="K71" s="199">
        <v>2612.9</v>
      </c>
      <c r="L71" s="199">
        <v>2612.9</v>
      </c>
      <c r="M71" s="199">
        <f t="shared" si="2"/>
        <v>12058.4</v>
      </c>
      <c r="N71" s="246" t="s">
        <v>482</v>
      </c>
    </row>
    <row r="72" spans="1:14" ht="130.5" customHeight="1">
      <c r="A72" s="317"/>
      <c r="B72" s="360"/>
      <c r="C72" s="294"/>
      <c r="D72" s="317"/>
      <c r="E72" s="317"/>
      <c r="F72" s="317"/>
      <c r="G72" s="11">
        <v>320</v>
      </c>
      <c r="H72" s="166"/>
      <c r="I72" s="212"/>
      <c r="J72" s="199">
        <v>154</v>
      </c>
      <c r="K72" s="199">
        <v>154</v>
      </c>
      <c r="L72" s="199">
        <v>154</v>
      </c>
      <c r="M72" s="199">
        <f t="shared" si="2"/>
        <v>462</v>
      </c>
      <c r="N72" s="294"/>
    </row>
    <row r="73" spans="1:14" ht="130.5" customHeight="1">
      <c r="A73" s="318"/>
      <c r="B73" s="361"/>
      <c r="C73" s="247"/>
      <c r="D73" s="318"/>
      <c r="E73" s="318"/>
      <c r="F73" s="318"/>
      <c r="G73" s="11" t="s">
        <v>209</v>
      </c>
      <c r="H73" s="166">
        <v>1252.12</v>
      </c>
      <c r="I73" s="212">
        <v>1349.3</v>
      </c>
      <c r="J73" s="199">
        <v>2049</v>
      </c>
      <c r="K73" s="199">
        <v>2049</v>
      </c>
      <c r="L73" s="199">
        <v>2049</v>
      </c>
      <c r="M73" s="199">
        <f t="shared" si="2"/>
        <v>8748.4</v>
      </c>
      <c r="N73" s="247"/>
    </row>
    <row r="74" spans="1:14" ht="95.25" customHeight="1">
      <c r="A74" s="116" t="s">
        <v>288</v>
      </c>
      <c r="B74" s="131" t="s">
        <v>532</v>
      </c>
      <c r="C74" s="115" t="s">
        <v>531</v>
      </c>
      <c r="D74" s="102" t="s">
        <v>534</v>
      </c>
      <c r="E74" s="102" t="s">
        <v>208</v>
      </c>
      <c r="F74" s="102" t="s">
        <v>120</v>
      </c>
      <c r="G74" s="115">
        <v>244</v>
      </c>
      <c r="H74" s="201"/>
      <c r="I74" s="201"/>
      <c r="J74" s="202"/>
      <c r="K74" s="202"/>
      <c r="L74" s="202"/>
      <c r="M74" s="199">
        <f t="shared" si="2"/>
        <v>0</v>
      </c>
      <c r="N74" s="115" t="s">
        <v>533</v>
      </c>
    </row>
    <row r="75" spans="1:14" ht="42.75" customHeight="1">
      <c r="A75" s="322" t="s">
        <v>118</v>
      </c>
      <c r="B75" s="288" t="s">
        <v>119</v>
      </c>
      <c r="C75" s="246" t="s">
        <v>531</v>
      </c>
      <c r="D75" s="316" t="s">
        <v>534</v>
      </c>
      <c r="E75" s="316" t="s">
        <v>203</v>
      </c>
      <c r="F75" s="316" t="s">
        <v>445</v>
      </c>
      <c r="G75" s="115">
        <v>244</v>
      </c>
      <c r="H75" s="201">
        <v>4.1</v>
      </c>
      <c r="I75" s="201"/>
      <c r="J75" s="202">
        <v>4.1</v>
      </c>
      <c r="K75" s="202">
        <v>4.1</v>
      </c>
      <c r="L75" s="202">
        <v>4.1</v>
      </c>
      <c r="M75" s="199">
        <f t="shared" si="2"/>
        <v>16.4</v>
      </c>
      <c r="N75" s="246" t="s">
        <v>483</v>
      </c>
    </row>
    <row r="76" spans="1:14" ht="42.75" customHeight="1">
      <c r="A76" s="324"/>
      <c r="B76" s="332"/>
      <c r="C76" s="247"/>
      <c r="D76" s="318"/>
      <c r="E76" s="318"/>
      <c r="F76" s="318"/>
      <c r="G76" s="115">
        <v>612</v>
      </c>
      <c r="H76" s="201">
        <v>24</v>
      </c>
      <c r="I76" s="227">
        <v>15</v>
      </c>
      <c r="J76" s="202">
        <v>24</v>
      </c>
      <c r="K76" s="202">
        <v>24</v>
      </c>
      <c r="L76" s="202">
        <v>24</v>
      </c>
      <c r="M76" s="199">
        <f t="shared" si="2"/>
        <v>111</v>
      </c>
      <c r="N76" s="247"/>
    </row>
    <row r="77" spans="1:14" ht="152.25" customHeight="1">
      <c r="A77" s="322" t="s">
        <v>185</v>
      </c>
      <c r="B77" s="85" t="s">
        <v>454</v>
      </c>
      <c r="C77" s="246" t="s">
        <v>531</v>
      </c>
      <c r="D77" s="316" t="s">
        <v>534</v>
      </c>
      <c r="E77" s="316" t="s">
        <v>203</v>
      </c>
      <c r="F77" s="86" t="s">
        <v>453</v>
      </c>
      <c r="G77" s="115">
        <v>612</v>
      </c>
      <c r="H77" s="201"/>
      <c r="I77" s="227">
        <v>20</v>
      </c>
      <c r="J77" s="202"/>
      <c r="K77" s="202"/>
      <c r="L77" s="202"/>
      <c r="M77" s="199">
        <f t="shared" si="2"/>
        <v>20</v>
      </c>
      <c r="N77" s="246" t="s">
        <v>487</v>
      </c>
    </row>
    <row r="78" spans="1:14" ht="141" customHeight="1">
      <c r="A78" s="324"/>
      <c r="B78" s="85" t="s">
        <v>458</v>
      </c>
      <c r="C78" s="247"/>
      <c r="D78" s="318"/>
      <c r="E78" s="318"/>
      <c r="F78" s="211" t="s">
        <v>459</v>
      </c>
      <c r="G78" s="115">
        <v>612</v>
      </c>
      <c r="H78" s="201"/>
      <c r="I78" s="227">
        <v>694</v>
      </c>
      <c r="J78" s="202"/>
      <c r="K78" s="202"/>
      <c r="L78" s="202"/>
      <c r="M78" s="199">
        <f t="shared" si="2"/>
        <v>694</v>
      </c>
      <c r="N78" s="247"/>
    </row>
    <row r="79" spans="1:14" ht="189" customHeight="1">
      <c r="A79" s="322" t="s">
        <v>397</v>
      </c>
      <c r="B79" s="170" t="s">
        <v>197</v>
      </c>
      <c r="C79" s="115" t="s">
        <v>180</v>
      </c>
      <c r="D79" s="102" t="s">
        <v>207</v>
      </c>
      <c r="E79" s="115" t="s">
        <v>203</v>
      </c>
      <c r="F79" s="102" t="s">
        <v>181</v>
      </c>
      <c r="G79" s="115">
        <v>244</v>
      </c>
      <c r="H79" s="201">
        <v>3187.5</v>
      </c>
      <c r="I79" s="201">
        <v>1023.4</v>
      </c>
      <c r="J79" s="202"/>
      <c r="K79" s="202"/>
      <c r="L79" s="202"/>
      <c r="M79" s="199">
        <f t="shared" si="2"/>
        <v>4210.9</v>
      </c>
      <c r="N79" s="246" t="s">
        <v>484</v>
      </c>
    </row>
    <row r="80" spans="1:14" ht="108.75" customHeight="1">
      <c r="A80" s="324"/>
      <c r="B80" s="170" t="s">
        <v>196</v>
      </c>
      <c r="C80" s="115" t="s">
        <v>180</v>
      </c>
      <c r="D80" s="102" t="s">
        <v>207</v>
      </c>
      <c r="E80" s="115" t="s">
        <v>203</v>
      </c>
      <c r="F80" s="102" t="s">
        <v>168</v>
      </c>
      <c r="G80" s="115">
        <v>244</v>
      </c>
      <c r="H80" s="201">
        <v>32.2</v>
      </c>
      <c r="I80" s="227">
        <v>10.3</v>
      </c>
      <c r="J80" s="202"/>
      <c r="K80" s="202"/>
      <c r="L80" s="202"/>
      <c r="M80" s="199">
        <f>SUM(H80:L80)</f>
        <v>42.5</v>
      </c>
      <c r="N80" s="247"/>
    </row>
    <row r="81" spans="1:14" s="89" customFormat="1" ht="34.5" customHeight="1">
      <c r="A81" s="290" t="s">
        <v>59</v>
      </c>
      <c r="B81" s="290"/>
      <c r="C81" s="85"/>
      <c r="D81" s="85"/>
      <c r="E81" s="85"/>
      <c r="F81" s="85"/>
      <c r="G81" s="85"/>
      <c r="H81" s="205">
        <f aca="true" t="shared" si="3" ref="H81:M81">SUM(H49:H80)</f>
        <v>140587.8</v>
      </c>
      <c r="I81" s="212">
        <f t="shared" si="3"/>
        <v>154945.3</v>
      </c>
      <c r="J81" s="199">
        <f t="shared" si="3"/>
        <v>173214.5</v>
      </c>
      <c r="K81" s="199">
        <f>SUM(K49:K80)</f>
        <v>170808.6</v>
      </c>
      <c r="L81" s="199">
        <f t="shared" si="3"/>
        <v>168758.1</v>
      </c>
      <c r="M81" s="199">
        <f t="shared" si="3"/>
        <v>808314.4</v>
      </c>
      <c r="N81" s="88"/>
    </row>
    <row r="82" spans="1:14" s="83" customFormat="1" ht="30" customHeight="1">
      <c r="A82" s="350" t="s">
        <v>547</v>
      </c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2"/>
    </row>
    <row r="83" spans="1:14" s="83" customFormat="1" ht="127.5" customHeight="1">
      <c r="A83" s="35" t="s">
        <v>358</v>
      </c>
      <c r="B83" s="151" t="s">
        <v>340</v>
      </c>
      <c r="C83" s="10" t="s">
        <v>339</v>
      </c>
      <c r="D83" s="46">
        <v>137</v>
      </c>
      <c r="E83" s="46" t="s">
        <v>208</v>
      </c>
      <c r="F83" s="86" t="s">
        <v>452</v>
      </c>
      <c r="G83" s="46">
        <v>244</v>
      </c>
      <c r="H83" s="166">
        <v>28</v>
      </c>
      <c r="I83" s="166">
        <v>38.1</v>
      </c>
      <c r="J83" s="199">
        <v>70</v>
      </c>
      <c r="K83" s="199">
        <v>70</v>
      </c>
      <c r="L83" s="199">
        <v>70</v>
      </c>
      <c r="M83" s="199">
        <f>SUM(H83:L83)</f>
        <v>276.1</v>
      </c>
      <c r="N83" s="11" t="s">
        <v>48</v>
      </c>
    </row>
    <row r="84" spans="1:14" ht="114.75" customHeight="1">
      <c r="A84" s="35" t="s">
        <v>359</v>
      </c>
      <c r="B84" s="141" t="s">
        <v>30</v>
      </c>
      <c r="C84" s="10" t="s">
        <v>531</v>
      </c>
      <c r="D84" s="86" t="s">
        <v>534</v>
      </c>
      <c r="E84" s="86" t="s">
        <v>208</v>
      </c>
      <c r="F84" s="86" t="s">
        <v>451</v>
      </c>
      <c r="G84" s="102" t="s">
        <v>205</v>
      </c>
      <c r="H84" s="201">
        <v>20</v>
      </c>
      <c r="I84" s="201"/>
      <c r="J84" s="202">
        <v>20</v>
      </c>
      <c r="K84" s="202">
        <v>20</v>
      </c>
      <c r="L84" s="202">
        <v>20</v>
      </c>
      <c r="M84" s="199">
        <f aca="true" t="shared" si="4" ref="M84:M89">SUM(H84:L84)</f>
        <v>80</v>
      </c>
      <c r="N84" s="115" t="s">
        <v>29</v>
      </c>
    </row>
    <row r="85" spans="1:14" ht="69.75" customHeight="1">
      <c r="A85" s="35" t="s">
        <v>360</v>
      </c>
      <c r="B85" s="141" t="s">
        <v>415</v>
      </c>
      <c r="C85" s="10" t="s">
        <v>531</v>
      </c>
      <c r="D85" s="86" t="s">
        <v>534</v>
      </c>
      <c r="E85" s="86" t="s">
        <v>208</v>
      </c>
      <c r="F85" s="86" t="s">
        <v>414</v>
      </c>
      <c r="G85" s="102" t="s">
        <v>205</v>
      </c>
      <c r="H85" s="201"/>
      <c r="I85" s="201">
        <v>14.1</v>
      </c>
      <c r="J85" s="202"/>
      <c r="K85" s="202"/>
      <c r="L85" s="202"/>
      <c r="M85" s="199">
        <f t="shared" si="4"/>
        <v>14.1</v>
      </c>
      <c r="N85" s="115"/>
    </row>
    <row r="86" spans="1:14" ht="81.75" customHeight="1">
      <c r="A86" s="35" t="s">
        <v>361</v>
      </c>
      <c r="B86" s="141" t="s">
        <v>34</v>
      </c>
      <c r="C86" s="10" t="s">
        <v>531</v>
      </c>
      <c r="D86" s="86" t="s">
        <v>534</v>
      </c>
      <c r="E86" s="86" t="s">
        <v>208</v>
      </c>
      <c r="F86" s="86" t="s">
        <v>270</v>
      </c>
      <c r="G86" s="102" t="s">
        <v>205</v>
      </c>
      <c r="H86" s="201"/>
      <c r="I86" s="201"/>
      <c r="J86" s="202"/>
      <c r="K86" s="202"/>
      <c r="L86" s="202"/>
      <c r="M86" s="199">
        <f t="shared" si="4"/>
        <v>0</v>
      </c>
      <c r="N86" s="115" t="s">
        <v>338</v>
      </c>
    </row>
    <row r="87" spans="1:14" ht="81.75" customHeight="1">
      <c r="A87" s="35" t="s">
        <v>362</v>
      </c>
      <c r="B87" s="144" t="s">
        <v>32</v>
      </c>
      <c r="C87" s="10" t="s">
        <v>531</v>
      </c>
      <c r="D87" s="86" t="s">
        <v>534</v>
      </c>
      <c r="E87" s="86" t="s">
        <v>208</v>
      </c>
      <c r="F87" s="86" t="s">
        <v>271</v>
      </c>
      <c r="G87" s="86" t="s">
        <v>230</v>
      </c>
      <c r="H87" s="166"/>
      <c r="I87" s="166"/>
      <c r="J87" s="199"/>
      <c r="K87" s="199"/>
      <c r="L87" s="199"/>
      <c r="M87" s="199">
        <f t="shared" si="4"/>
        <v>0</v>
      </c>
      <c r="N87" s="11" t="s">
        <v>31</v>
      </c>
    </row>
    <row r="88" spans="1:14" ht="81.75" customHeight="1">
      <c r="A88" s="35" t="s">
        <v>363</v>
      </c>
      <c r="B88" s="144" t="s">
        <v>33</v>
      </c>
      <c r="C88" s="10" t="s">
        <v>531</v>
      </c>
      <c r="D88" s="86" t="s">
        <v>534</v>
      </c>
      <c r="E88" s="86" t="s">
        <v>208</v>
      </c>
      <c r="F88" s="86" t="s">
        <v>272</v>
      </c>
      <c r="G88" s="86" t="s">
        <v>205</v>
      </c>
      <c r="H88" s="166"/>
      <c r="I88" s="166"/>
      <c r="J88" s="199"/>
      <c r="K88" s="199"/>
      <c r="L88" s="199"/>
      <c r="M88" s="199">
        <f t="shared" si="4"/>
        <v>0</v>
      </c>
      <c r="N88" s="11" t="s">
        <v>26</v>
      </c>
    </row>
    <row r="89" spans="1:14" ht="81.75" customHeight="1">
      <c r="A89" s="35" t="s">
        <v>416</v>
      </c>
      <c r="B89" s="144" t="s">
        <v>27</v>
      </c>
      <c r="C89" s="10" t="s">
        <v>531</v>
      </c>
      <c r="D89" s="86" t="s">
        <v>534</v>
      </c>
      <c r="E89" s="86" t="s">
        <v>203</v>
      </c>
      <c r="F89" s="86" t="s">
        <v>273</v>
      </c>
      <c r="G89" s="86" t="s">
        <v>353</v>
      </c>
      <c r="H89" s="166"/>
      <c r="I89" s="166"/>
      <c r="J89" s="199"/>
      <c r="K89" s="199"/>
      <c r="L89" s="199"/>
      <c r="M89" s="199">
        <f t="shared" si="4"/>
        <v>0</v>
      </c>
      <c r="N89" s="14" t="s">
        <v>28</v>
      </c>
    </row>
    <row r="90" spans="1:14" s="65" customFormat="1" ht="24.75" customHeight="1">
      <c r="A90" s="315" t="s">
        <v>60</v>
      </c>
      <c r="B90" s="315"/>
      <c r="C90" s="87"/>
      <c r="D90" s="87"/>
      <c r="E90" s="87"/>
      <c r="F90" s="87"/>
      <c r="G90" s="87"/>
      <c r="H90" s="166">
        <f aca="true" t="shared" si="5" ref="H90:M90">SUM(H83:H89)</f>
        <v>48</v>
      </c>
      <c r="I90" s="166">
        <f t="shared" si="5"/>
        <v>52.2</v>
      </c>
      <c r="J90" s="199">
        <f t="shared" si="5"/>
        <v>90</v>
      </c>
      <c r="K90" s="199">
        <f>SUM(K83:K89)</f>
        <v>90</v>
      </c>
      <c r="L90" s="199">
        <f t="shared" si="5"/>
        <v>90</v>
      </c>
      <c r="M90" s="199">
        <f t="shared" si="5"/>
        <v>370.2</v>
      </c>
      <c r="N90" s="14"/>
    </row>
    <row r="91" spans="1:14" ht="24.75" customHeight="1">
      <c r="A91" s="342" t="s">
        <v>548</v>
      </c>
      <c r="B91" s="343"/>
      <c r="C91" s="343"/>
      <c r="D91" s="343"/>
      <c r="E91" s="343"/>
      <c r="F91" s="343"/>
      <c r="G91" s="343"/>
      <c r="H91" s="343"/>
      <c r="I91" s="344"/>
      <c r="J91" s="198"/>
      <c r="K91" s="198"/>
      <c r="L91" s="198"/>
      <c r="M91" s="198"/>
      <c r="N91" s="14"/>
    </row>
    <row r="92" spans="1:14" ht="68.25" customHeight="1">
      <c r="A92" s="145" t="s">
        <v>364</v>
      </c>
      <c r="B92" s="152" t="s">
        <v>38</v>
      </c>
      <c r="C92" s="11" t="s">
        <v>339</v>
      </c>
      <c r="D92" s="86" t="s">
        <v>534</v>
      </c>
      <c r="E92" s="86" t="s">
        <v>208</v>
      </c>
      <c r="F92" s="86" t="s">
        <v>450</v>
      </c>
      <c r="G92" s="11" t="s">
        <v>426</v>
      </c>
      <c r="H92" s="167"/>
      <c r="I92" s="167">
        <v>22.5</v>
      </c>
      <c r="J92" s="199">
        <v>30</v>
      </c>
      <c r="K92" s="199">
        <v>30</v>
      </c>
      <c r="L92" s="199">
        <v>30</v>
      </c>
      <c r="M92" s="199">
        <f>SUM(H92:L92)</f>
        <v>112.5</v>
      </c>
      <c r="N92" s="11" t="s">
        <v>39</v>
      </c>
    </row>
    <row r="93" spans="1:14" ht="39" customHeight="1">
      <c r="A93" s="327" t="s">
        <v>365</v>
      </c>
      <c r="B93" s="329" t="s">
        <v>35</v>
      </c>
      <c r="C93" s="246" t="s">
        <v>339</v>
      </c>
      <c r="D93" s="316" t="s">
        <v>534</v>
      </c>
      <c r="E93" s="316" t="s">
        <v>208</v>
      </c>
      <c r="F93" s="316" t="s">
        <v>449</v>
      </c>
      <c r="G93" s="11" t="s">
        <v>426</v>
      </c>
      <c r="H93" s="167">
        <v>24</v>
      </c>
      <c r="I93" s="167">
        <v>15</v>
      </c>
      <c r="J93" s="199">
        <v>30</v>
      </c>
      <c r="K93" s="199">
        <v>30</v>
      </c>
      <c r="L93" s="199">
        <v>30</v>
      </c>
      <c r="M93" s="199">
        <f aca="true" t="shared" si="6" ref="M93:M105">SUM(H93:L93)</f>
        <v>129</v>
      </c>
      <c r="N93" s="246" t="s">
        <v>344</v>
      </c>
    </row>
    <row r="94" spans="1:14" ht="39" customHeight="1">
      <c r="A94" s="328"/>
      <c r="B94" s="330"/>
      <c r="C94" s="247"/>
      <c r="D94" s="318"/>
      <c r="E94" s="318"/>
      <c r="F94" s="318"/>
      <c r="G94" s="11">
        <v>612</v>
      </c>
      <c r="H94" s="167">
        <v>6</v>
      </c>
      <c r="I94" s="167"/>
      <c r="J94" s="199"/>
      <c r="K94" s="199"/>
      <c r="L94" s="199"/>
      <c r="M94" s="199">
        <f t="shared" si="6"/>
        <v>6</v>
      </c>
      <c r="N94" s="247"/>
    </row>
    <row r="95" spans="1:15" ht="75.75" customHeight="1">
      <c r="A95" s="190" t="s">
        <v>366</v>
      </c>
      <c r="B95" s="153" t="s">
        <v>36</v>
      </c>
      <c r="C95" s="115" t="s">
        <v>339</v>
      </c>
      <c r="D95" s="102" t="s">
        <v>534</v>
      </c>
      <c r="E95" s="102" t="s">
        <v>208</v>
      </c>
      <c r="F95" s="102" t="s">
        <v>448</v>
      </c>
      <c r="G95" s="11" t="s">
        <v>426</v>
      </c>
      <c r="H95" s="167">
        <v>71.06</v>
      </c>
      <c r="I95" s="167">
        <v>180</v>
      </c>
      <c r="J95" s="200">
        <v>175</v>
      </c>
      <c r="K95" s="200">
        <v>175</v>
      </c>
      <c r="L95" s="200">
        <v>175</v>
      </c>
      <c r="M95" s="199">
        <f t="shared" si="6"/>
        <v>776.1</v>
      </c>
      <c r="N95" s="115" t="s">
        <v>345</v>
      </c>
      <c r="O95" s="1">
        <f>SUM(H95:M95)</f>
        <v>1552.16</v>
      </c>
    </row>
    <row r="96" spans="1:14" ht="98.25" customHeight="1">
      <c r="A96" s="146" t="s">
        <v>367</v>
      </c>
      <c r="B96" s="152" t="s">
        <v>390</v>
      </c>
      <c r="C96" s="11" t="s">
        <v>339</v>
      </c>
      <c r="D96" s="86" t="s">
        <v>534</v>
      </c>
      <c r="E96" s="86" t="s">
        <v>208</v>
      </c>
      <c r="F96" s="86" t="s">
        <v>447</v>
      </c>
      <c r="G96" s="86" t="s">
        <v>205</v>
      </c>
      <c r="H96" s="166"/>
      <c r="I96" s="166">
        <v>10</v>
      </c>
      <c r="J96" s="199">
        <v>20</v>
      </c>
      <c r="K96" s="199">
        <v>20</v>
      </c>
      <c r="L96" s="199">
        <v>20</v>
      </c>
      <c r="M96" s="199">
        <f t="shared" si="6"/>
        <v>70</v>
      </c>
      <c r="N96" s="11" t="s">
        <v>391</v>
      </c>
    </row>
    <row r="97" spans="1:14" ht="75.75" customHeight="1">
      <c r="A97" s="146" t="s">
        <v>368</v>
      </c>
      <c r="B97" s="152" t="s">
        <v>347</v>
      </c>
      <c r="C97" s="11" t="s">
        <v>339</v>
      </c>
      <c r="D97" s="86" t="s">
        <v>534</v>
      </c>
      <c r="E97" s="86" t="s">
        <v>208</v>
      </c>
      <c r="F97" s="86" t="s">
        <v>231</v>
      </c>
      <c r="G97" s="86" t="s">
        <v>205</v>
      </c>
      <c r="H97" s="166"/>
      <c r="I97" s="166"/>
      <c r="J97" s="199"/>
      <c r="K97" s="199"/>
      <c r="L97" s="199"/>
      <c r="M97" s="199">
        <f t="shared" si="6"/>
        <v>0</v>
      </c>
      <c r="N97" s="11" t="s">
        <v>40</v>
      </c>
    </row>
    <row r="98" spans="1:14" ht="75.75" customHeight="1">
      <c r="A98" s="146" t="s">
        <v>369</v>
      </c>
      <c r="B98" s="152" t="s">
        <v>37</v>
      </c>
      <c r="C98" s="11" t="s">
        <v>339</v>
      </c>
      <c r="D98" s="86" t="s">
        <v>534</v>
      </c>
      <c r="E98" s="86" t="s">
        <v>208</v>
      </c>
      <c r="F98" s="86" t="s">
        <v>232</v>
      </c>
      <c r="G98" s="86" t="s">
        <v>205</v>
      </c>
      <c r="H98" s="166"/>
      <c r="I98" s="166"/>
      <c r="J98" s="199"/>
      <c r="K98" s="199"/>
      <c r="L98" s="199"/>
      <c r="M98" s="199">
        <f t="shared" si="6"/>
        <v>0</v>
      </c>
      <c r="N98" s="11" t="s">
        <v>346</v>
      </c>
    </row>
    <row r="99" spans="1:14" ht="85.5" customHeight="1">
      <c r="A99" s="353" t="s">
        <v>370</v>
      </c>
      <c r="B99" s="288" t="s">
        <v>234</v>
      </c>
      <c r="C99" s="246" t="s">
        <v>339</v>
      </c>
      <c r="D99" s="86" t="s">
        <v>534</v>
      </c>
      <c r="E99" s="86" t="s">
        <v>206</v>
      </c>
      <c r="F99" s="86" t="s">
        <v>235</v>
      </c>
      <c r="G99" s="86" t="s">
        <v>205</v>
      </c>
      <c r="H99" s="166">
        <v>885.13</v>
      </c>
      <c r="I99" s="166">
        <v>870.4</v>
      </c>
      <c r="J99" s="199"/>
      <c r="K99" s="199"/>
      <c r="L99" s="199"/>
      <c r="M99" s="199">
        <f t="shared" si="6"/>
        <v>1755.5</v>
      </c>
      <c r="N99" s="319" t="s">
        <v>525</v>
      </c>
    </row>
    <row r="100" spans="1:14" ht="85.5" customHeight="1">
      <c r="A100" s="354"/>
      <c r="B100" s="332" t="s">
        <v>234</v>
      </c>
      <c r="C100" s="294"/>
      <c r="D100" s="86" t="s">
        <v>534</v>
      </c>
      <c r="E100" s="86" t="s">
        <v>206</v>
      </c>
      <c r="F100" s="86" t="s">
        <v>235</v>
      </c>
      <c r="G100" s="86" t="s">
        <v>209</v>
      </c>
      <c r="H100" s="166">
        <v>555.27</v>
      </c>
      <c r="I100" s="166">
        <v>569.9</v>
      </c>
      <c r="J100" s="199"/>
      <c r="K100" s="199"/>
      <c r="L100" s="199"/>
      <c r="M100" s="199">
        <f t="shared" si="6"/>
        <v>1125.2</v>
      </c>
      <c r="N100" s="320"/>
    </row>
    <row r="101" spans="1:14" ht="85.5" customHeight="1">
      <c r="A101" s="355"/>
      <c r="B101" s="153" t="s">
        <v>233</v>
      </c>
      <c r="C101" s="247"/>
      <c r="D101" s="86" t="s">
        <v>534</v>
      </c>
      <c r="E101" s="86" t="s">
        <v>206</v>
      </c>
      <c r="F101" s="86" t="s">
        <v>442</v>
      </c>
      <c r="G101" s="86" t="s">
        <v>205</v>
      </c>
      <c r="H101" s="166">
        <v>14.57</v>
      </c>
      <c r="I101" s="166">
        <v>15.4</v>
      </c>
      <c r="J101" s="199">
        <v>15.4</v>
      </c>
      <c r="K101" s="199">
        <v>15.4</v>
      </c>
      <c r="L101" s="199">
        <v>15.4</v>
      </c>
      <c r="M101" s="199">
        <f t="shared" si="6"/>
        <v>76.2</v>
      </c>
      <c r="N101" s="321"/>
    </row>
    <row r="102" spans="1:14" ht="114.75" customHeight="1">
      <c r="A102" s="353" t="s">
        <v>371</v>
      </c>
      <c r="B102" s="153" t="s">
        <v>249</v>
      </c>
      <c r="C102" s="246" t="s">
        <v>339</v>
      </c>
      <c r="D102" s="86" t="s">
        <v>534</v>
      </c>
      <c r="E102" s="86" t="s">
        <v>206</v>
      </c>
      <c r="F102" s="86" t="s">
        <v>443</v>
      </c>
      <c r="G102" s="86" t="s">
        <v>182</v>
      </c>
      <c r="H102" s="166">
        <v>398.3</v>
      </c>
      <c r="I102" s="166">
        <v>424.4</v>
      </c>
      <c r="J102" s="199"/>
      <c r="K102" s="199"/>
      <c r="L102" s="199"/>
      <c r="M102" s="199">
        <f t="shared" si="6"/>
        <v>822.7</v>
      </c>
      <c r="N102" s="319" t="s">
        <v>485</v>
      </c>
    </row>
    <row r="103" spans="1:14" ht="114.75" customHeight="1">
      <c r="A103" s="354"/>
      <c r="B103" s="152" t="s">
        <v>250</v>
      </c>
      <c r="C103" s="247"/>
      <c r="D103" s="86" t="s">
        <v>534</v>
      </c>
      <c r="E103" s="86" t="s">
        <v>206</v>
      </c>
      <c r="F103" s="86" t="s">
        <v>444</v>
      </c>
      <c r="G103" s="86" t="s">
        <v>182</v>
      </c>
      <c r="H103" s="167">
        <v>170.74</v>
      </c>
      <c r="I103" s="167">
        <v>168.4</v>
      </c>
      <c r="J103" s="200">
        <v>181.9</v>
      </c>
      <c r="K103" s="200">
        <v>181.9</v>
      </c>
      <c r="L103" s="200">
        <v>181.9</v>
      </c>
      <c r="M103" s="199">
        <f t="shared" si="6"/>
        <v>884.8</v>
      </c>
      <c r="N103" s="320"/>
    </row>
    <row r="104" spans="1:14" ht="134.25" customHeight="1">
      <c r="A104" s="355"/>
      <c r="B104" s="193" t="s">
        <v>417</v>
      </c>
      <c r="C104" s="189" t="s">
        <v>339</v>
      </c>
      <c r="D104" s="86" t="s">
        <v>534</v>
      </c>
      <c r="E104" s="86" t="s">
        <v>206</v>
      </c>
      <c r="F104" s="86" t="s">
        <v>418</v>
      </c>
      <c r="G104" s="86" t="s">
        <v>182</v>
      </c>
      <c r="H104" s="167"/>
      <c r="I104" s="167"/>
      <c r="J104" s="200"/>
      <c r="K104" s="200"/>
      <c r="L104" s="200"/>
      <c r="M104" s="199">
        <f t="shared" si="6"/>
        <v>0</v>
      </c>
      <c r="N104" s="321"/>
    </row>
    <row r="105" spans="1:14" ht="70.5" customHeight="1">
      <c r="A105" s="35" t="s">
        <v>164</v>
      </c>
      <c r="B105" s="144" t="s">
        <v>341</v>
      </c>
      <c r="C105" s="11" t="s">
        <v>528</v>
      </c>
      <c r="D105" s="86" t="s">
        <v>207</v>
      </c>
      <c r="E105" s="86" t="s">
        <v>208</v>
      </c>
      <c r="F105" s="86" t="s">
        <v>121</v>
      </c>
      <c r="G105" s="86" t="s">
        <v>205</v>
      </c>
      <c r="H105" s="166">
        <v>17</v>
      </c>
      <c r="I105" s="166"/>
      <c r="J105" s="199"/>
      <c r="K105" s="199"/>
      <c r="L105" s="199"/>
      <c r="M105" s="199">
        <f t="shared" si="6"/>
        <v>17</v>
      </c>
      <c r="N105" s="11" t="s">
        <v>342</v>
      </c>
    </row>
    <row r="106" spans="1:14" ht="23.25" customHeight="1">
      <c r="A106" s="348" t="s">
        <v>78</v>
      </c>
      <c r="B106" s="348"/>
      <c r="C106" s="11"/>
      <c r="D106" s="12"/>
      <c r="E106" s="12"/>
      <c r="F106" s="12"/>
      <c r="G106" s="12"/>
      <c r="H106" s="166">
        <f aca="true" t="shared" si="7" ref="H106:M106">SUM(H92:H105)</f>
        <v>2142.07</v>
      </c>
      <c r="I106" s="166">
        <f t="shared" si="7"/>
        <v>2276</v>
      </c>
      <c r="J106" s="199">
        <f t="shared" si="7"/>
        <v>452.3</v>
      </c>
      <c r="K106" s="199">
        <f>SUM(K92:K105)</f>
        <v>452.3</v>
      </c>
      <c r="L106" s="199">
        <f t="shared" si="7"/>
        <v>452.3</v>
      </c>
      <c r="M106" s="199">
        <f t="shared" si="7"/>
        <v>5775</v>
      </c>
      <c r="N106" s="31"/>
    </row>
    <row r="107" spans="1:14" ht="20.25" customHeight="1">
      <c r="A107" s="348" t="s">
        <v>158</v>
      </c>
      <c r="B107" s="348"/>
      <c r="C107" s="11"/>
      <c r="D107" s="12"/>
      <c r="E107" s="12"/>
      <c r="F107" s="12"/>
      <c r="G107" s="12"/>
      <c r="H107" s="166">
        <f>H47+H81+H90+H106</f>
        <v>287773.78</v>
      </c>
      <c r="I107" s="166">
        <f>I47+I81+I90+I106</f>
        <v>276647.5</v>
      </c>
      <c r="J107" s="199">
        <f>J47+J81+J90+J106</f>
        <v>223921.3</v>
      </c>
      <c r="K107" s="199">
        <f>K47+K81+K90+K106</f>
        <v>221515.2</v>
      </c>
      <c r="L107" s="199">
        <f>L47+L81+L90+L106</f>
        <v>219464.7</v>
      </c>
      <c r="M107" s="199">
        <f>SUM(H107:L107)</f>
        <v>1229322.5</v>
      </c>
      <c r="N107" s="31"/>
    </row>
    <row r="108" spans="1:14" ht="34.5" customHeight="1">
      <c r="A108" s="206"/>
      <c r="B108" s="369" t="s">
        <v>431</v>
      </c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</row>
    <row r="109" spans="1:13" ht="15.75">
      <c r="A109" s="16"/>
      <c r="C109" s="367" t="s">
        <v>82</v>
      </c>
      <c r="D109" s="367"/>
      <c r="E109" s="367"/>
      <c r="F109" s="367"/>
      <c r="G109" s="367"/>
      <c r="H109" s="182">
        <f>H40</f>
        <v>2641.9</v>
      </c>
      <c r="I109" s="182">
        <f>I40+I78</f>
        <v>694</v>
      </c>
      <c r="J109" s="182">
        <f>J40+J78</f>
        <v>0</v>
      </c>
      <c r="K109" s="182">
        <f>K40+K78</f>
        <v>0</v>
      </c>
      <c r="L109" s="182">
        <f>L40+L78</f>
        <v>0</v>
      </c>
      <c r="M109" s="182">
        <f>M40</f>
        <v>2641.9</v>
      </c>
    </row>
    <row r="110" spans="1:13" ht="15.75">
      <c r="A110" s="16"/>
      <c r="C110" s="367" t="s">
        <v>64</v>
      </c>
      <c r="D110" s="367"/>
      <c r="E110" s="367"/>
      <c r="F110" s="367"/>
      <c r="G110" s="367"/>
      <c r="H110" s="182">
        <f aca="true" t="shared" si="8" ref="H110:M110">H107-H111-H40</f>
        <v>220706.75</v>
      </c>
      <c r="I110" s="182">
        <f>I107-I111-I40-I109</f>
        <v>200633.3</v>
      </c>
      <c r="J110" s="182">
        <f t="shared" si="8"/>
        <v>136161.7</v>
      </c>
      <c r="K110" s="182">
        <f t="shared" si="8"/>
        <v>135806.4</v>
      </c>
      <c r="L110" s="182">
        <f t="shared" si="8"/>
        <v>135806.4</v>
      </c>
      <c r="M110" s="182">
        <f t="shared" si="8"/>
        <v>830224.7</v>
      </c>
    </row>
    <row r="111" spans="1:13" ht="15.75">
      <c r="A111" s="16"/>
      <c r="C111" s="367" t="s">
        <v>519</v>
      </c>
      <c r="D111" s="367"/>
      <c r="E111" s="367"/>
      <c r="F111" s="367"/>
      <c r="G111" s="367"/>
      <c r="H111" s="182">
        <f>H8+H12+H54+H80+H77+H103+H101+H98+H97+H95+H93+H92+H89+H88+H87+H86+H84+H83+H74+H58+H57+H55+H53+H52+H49+H18+H17+H16+H15+H13+H10+H9+H7+H75+H76+H50+H51+H11+H42+H36+H37+H94+H105+H38+H96+H85+H69+H56+H14</f>
        <v>64425.13</v>
      </c>
      <c r="I111" s="182">
        <f>I8+I12+I54+I80+I77+I103+I101+I98+I97+I95+I93+I92+I89+I88+I87+I86+I84+I83+I74+I58+I57+I55+I53+I52+I49+I18+I17+I16+I15+I13+I10+I9+I7+I75+I76+I50+I51+I11+I42+I36+I37+I94+I105+I38+I96+I85+I69+I56+I14</f>
        <v>75320.2</v>
      </c>
      <c r="J111" s="182">
        <f>J8+J12+J54+J80+J77+J103+J101+J98+J97+J95+J93+J92+J89+J88+J87+J86+J84+J83+J74+J58+J57+J55+J53+J52+J49+J18+J17+J16+J15+J13+J10+J9+J7+J75+J76+J50+J51+J11+J42+J36+J37+J94+J105+J38+J96+J85+J69+J56+J14</f>
        <v>87759.6</v>
      </c>
      <c r="K111" s="182">
        <f>K8+K12+K54+K80+K77+K103+K101+K98+K97+K95+K93+K92+K89+K88+K87+K86+K84+K83+K74+K58+K57+K55+K53+K52+K49+K18+K17+K16+K15+K13+K10+K9+K7+K75+K76+K50+K51+K11+K42+K36+K37+K94+K105+K38+K96+K85+K69+K56+K14</f>
        <v>85708.8</v>
      </c>
      <c r="L111" s="182">
        <f>L8+L12+L54+L80+L77+L103+L101+L98+L97+L95+L93+L92+L89+L88+L87+L86+L84+L83+L74+L58+L57+L55+L53+L52+L49+L18+L17+L16+L15+L13+L10+L9+L7+L75+L76+L50+L51+L11+L42+L36+L37+L94+L105+L38+L96+L85+L69+L56+L14</f>
        <v>83658.3</v>
      </c>
      <c r="M111" s="182">
        <f>M103+M101+M98+M97+M95+M93+M92+M89+M88+M87+M86+M84+M83+M74+M58+M57+M55+M53+M52+M49+M18+M17+M16+M15+M13+M10+M9+M7+M75+M76+M50+M51+M11+M42+M36+M37+M94+M105+M38+M96+M85+M69+M56+M14</f>
        <v>396455.9</v>
      </c>
    </row>
    <row r="112" spans="1:13" ht="15.75">
      <c r="A112" s="16"/>
      <c r="C112" s="366" t="s">
        <v>158</v>
      </c>
      <c r="D112" s="366"/>
      <c r="E112" s="366"/>
      <c r="F112" s="366"/>
      <c r="G112" s="366"/>
      <c r="H112" s="182">
        <f aca="true" t="shared" si="9" ref="H112:M112">SUM(H109:H111)</f>
        <v>287773.78</v>
      </c>
      <c r="I112" s="182">
        <f t="shared" si="9"/>
        <v>276647.5</v>
      </c>
      <c r="J112" s="182">
        <f t="shared" si="9"/>
        <v>223921.3</v>
      </c>
      <c r="K112" s="182">
        <f t="shared" si="9"/>
        <v>221515.2</v>
      </c>
      <c r="L112" s="182">
        <f t="shared" si="9"/>
        <v>219464.7</v>
      </c>
      <c r="M112" s="182">
        <f t="shared" si="9"/>
        <v>1229322.5</v>
      </c>
    </row>
    <row r="113" spans="1:7" ht="15.75">
      <c r="A113" s="16"/>
      <c r="D113" s="17"/>
      <c r="E113" s="17"/>
      <c r="F113" s="17"/>
      <c r="G113" s="17"/>
    </row>
    <row r="114" spans="1:14" ht="15.75">
      <c r="A114" s="16"/>
      <c r="B114" s="368" t="s">
        <v>430</v>
      </c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</row>
    <row r="115" spans="1:13" ht="15.75">
      <c r="A115" s="16"/>
      <c r="C115" s="362" t="s">
        <v>531</v>
      </c>
      <c r="D115" s="362"/>
      <c r="E115" s="362"/>
      <c r="F115" s="362"/>
      <c r="G115" s="362"/>
      <c r="H115" s="182">
        <f>H77+H103+H102+H101+H100+H99+H98+H97+H95+H94+H93+H92+H84+H83+H76+H75+H74+H73+H71+H65+H64+H63+H62+H61+H58+H57+H55+H53+H52+H51+H50+H49+H36+H34+H33+H32+H31+H30+H29+H25+H24+H23+H22+H21+H20+H18+H17+H16+H15+H13+H10+H9+H7+H86+H87+H88+H89+H69+H60+H59+H19+H12+H11+H8+H54+H96+H85+H56+H14</f>
        <v>169243.41</v>
      </c>
      <c r="I115" s="182">
        <f>I77+I103+I102+I101+I100+I99+I98+I97+I95+I94+I93+I92+I84+I83+I76+I75+I74+I73+I71+I65+I64+I63+I62+I61+I58+I57+I55+I53+I52+I51+I50+I49+I36+I34+I33+I32+I31+I30+I29+I25+I24+I23+I22+I21+I20+I18+I17+I16+I15+I13+I10+I9+I7+I86+I87+I88+I89+I69+I60+I59+I19+I12+I11+I8+I54+I96+I85+I56+I14+I78+I70+I68+I67+I66+I28+I27+I26</f>
        <v>190485.4</v>
      </c>
      <c r="J115" s="182">
        <f>J77+J103+J102+J101+J100+J99+J98+J97+J95+J94+J93+J92+J84+J83+J76+J75+J74+J73+J71+J65+J64+J63+J62+J61+J58+J57+J55+J53+J52+J51+J50+J49+J36+J34+J33+J32+J31+J30+J29+J25+J24+J23+J22+J21+J20+J18+J17+J16+J15+J13+J10+J9+J7+J86+J87+J88+J89+J69+J60+J59+J19+J12+J11+J8+J54+J96+J85+J56+J14+J78+J70+J68+J67+J66+J28+J27+J26+J72</f>
        <v>223921.3</v>
      </c>
      <c r="K115" s="182">
        <f>K77+K103+K102+K101+K100+K99+K98+K97+K95+K94+K93+K92+K84+K83+K76+K75+K74+K73+K71+K65+K64+K63+K62+K61+K58+K57+K55+K53+K52+K51+K50+K49+K36+K34+K33+K32+K31+K30+K29+K25+K24+K23+K22+K21+K20+K18+K17+K16+K15+K13+K10+K9+K7+K86+K87+K88+K89+K69+K60+K59+K19+K12+K11+K8+K54+K96+K85+K56+K14+K78+K70+K68+K67+K66+K28+K27+K26+K72</f>
        <v>221515.2</v>
      </c>
      <c r="L115" s="182">
        <f>L77+L103+L102+L101+L100+L99+L98+L97+L95+L94+L93+L92+L84+L83+L76+L75+L74+L73+L71+L65+L64+L63+L62+L61+L58+L57+L55+L53+L52+L51+L50+L49+L36+L34+L33+L32+L31+L30+L29+L25+L24+L23+L22+L21+L20+L18+L17+L16+L15+L13+L10+L9+L7+L86+L87+L88+L89+L69+L60+L59+L19+L12+L11+L8+L54+L96+L85+L56+L14+L78+L70+L68+L67+L66+L28+L27+L26+L72</f>
        <v>219464.7</v>
      </c>
      <c r="M115" s="182">
        <f>M77+M103+M102+M101+M100+M99+M98+M97+M95+M94+M93+M92+M84+M83+M76+M75+M74+M73+M71+M65+M64+M63+M62+M61+M58+M57+M55+M53+M52+M51+M50+M49+M36+M34+M33+M32+M31+M30+M29+M25+M24+M23+M22+M21+M20+M18+M17+M16+M15+M13+M10+M9+M7+M86+M87+M88+M89+M69+M60+M59+M19+M12+M11+M8+M54+M96+M85+M56+M14+M78+M70+M68+M67+M66+M28+M27+M26+M72</f>
        <v>1024630.2</v>
      </c>
    </row>
    <row r="116" spans="1:13" ht="15.75">
      <c r="A116" s="16"/>
      <c r="C116" s="362" t="s">
        <v>528</v>
      </c>
      <c r="D116" s="362"/>
      <c r="E116" s="362"/>
      <c r="F116" s="362"/>
      <c r="G116" s="362"/>
      <c r="H116" s="182">
        <f>H105+H41+H38+H37+H42+H35+H80+H79+H40+H39+H43</f>
        <v>109833.87</v>
      </c>
      <c r="I116" s="182">
        <f>I105+I41+I38+I37+I42+I35+I80+I79+I40+I39+I43+I44</f>
        <v>86162.1</v>
      </c>
      <c r="J116" s="182">
        <f>J105+J41+J38+J37+J42+J35+J80+J79+J40+J39+J43+J44</f>
        <v>0</v>
      </c>
      <c r="K116" s="182">
        <f>K105+K41+K38+K37+K42+K35+K80+K79+K40+K39+K43+K44</f>
        <v>0</v>
      </c>
      <c r="L116" s="182">
        <f>L105+L41+L38+L37+L42+L35+L80+L79+L40+L39+L43+L44</f>
        <v>0</v>
      </c>
      <c r="M116" s="182">
        <f>M105+M41+M38+M37+M42+M35+M80+M79+M40+M39+M43+M44</f>
        <v>195996</v>
      </c>
    </row>
    <row r="117" spans="1:13" ht="33" customHeight="1">
      <c r="A117" s="16"/>
      <c r="C117" s="363" t="s">
        <v>429</v>
      </c>
      <c r="D117" s="364"/>
      <c r="E117" s="364"/>
      <c r="F117" s="364"/>
      <c r="G117" s="365"/>
      <c r="H117" s="182">
        <f aca="true" t="shared" si="10" ref="H117:M117">H45+H46</f>
        <v>8696.5</v>
      </c>
      <c r="I117" s="182">
        <f t="shared" si="10"/>
        <v>0</v>
      </c>
      <c r="J117" s="182">
        <f t="shared" si="10"/>
        <v>0</v>
      </c>
      <c r="K117" s="182">
        <f t="shared" si="10"/>
        <v>0</v>
      </c>
      <c r="L117" s="182">
        <f t="shared" si="10"/>
        <v>0</v>
      </c>
      <c r="M117" s="182">
        <f t="shared" si="10"/>
        <v>8696.5</v>
      </c>
    </row>
    <row r="118" spans="1:13" ht="15.75">
      <c r="A118" s="16"/>
      <c r="C118" s="366" t="s">
        <v>158</v>
      </c>
      <c r="D118" s="366"/>
      <c r="E118" s="366"/>
      <c r="F118" s="366"/>
      <c r="G118" s="366"/>
      <c r="H118" s="182">
        <f aca="true" t="shared" si="11" ref="H118:M118">SUM(H115:H117)</f>
        <v>287773.78</v>
      </c>
      <c r="I118" s="182">
        <f t="shared" si="11"/>
        <v>276647.5</v>
      </c>
      <c r="J118" s="182">
        <f t="shared" si="11"/>
        <v>223921.3</v>
      </c>
      <c r="K118" s="182">
        <f t="shared" si="11"/>
        <v>221515.2</v>
      </c>
      <c r="L118" s="182">
        <f t="shared" si="11"/>
        <v>219464.7</v>
      </c>
      <c r="M118" s="182">
        <f t="shared" si="11"/>
        <v>1229322.7</v>
      </c>
    </row>
    <row r="119" spans="1:13" ht="15.75">
      <c r="A119" s="16"/>
      <c r="D119" s="17"/>
      <c r="E119" s="17"/>
      <c r="F119" s="17"/>
      <c r="G119" s="17"/>
      <c r="H119" s="101">
        <f aca="true" t="shared" si="12" ref="H119:M119">H107-H118</f>
        <v>0</v>
      </c>
      <c r="I119" s="101">
        <f t="shared" si="12"/>
        <v>0</v>
      </c>
      <c r="J119" s="101">
        <f t="shared" si="12"/>
        <v>0</v>
      </c>
      <c r="K119" s="101">
        <f t="shared" si="12"/>
        <v>0</v>
      </c>
      <c r="L119" s="101">
        <f t="shared" si="12"/>
        <v>0</v>
      </c>
      <c r="M119" s="101">
        <f t="shared" si="12"/>
        <v>-0.2</v>
      </c>
    </row>
    <row r="120" spans="1:13" ht="15.75">
      <c r="A120" s="16"/>
      <c r="D120" s="17"/>
      <c r="E120" s="17"/>
      <c r="F120" s="17"/>
      <c r="G120" s="17"/>
      <c r="H120" s="1"/>
      <c r="I120" s="1"/>
      <c r="J120" s="1"/>
      <c r="K120" s="1"/>
      <c r="L120" s="1"/>
      <c r="M120" s="1"/>
    </row>
    <row r="121" spans="1:13" ht="15.75">
      <c r="A121" s="16"/>
      <c r="D121" s="17"/>
      <c r="E121" s="17"/>
      <c r="F121" s="17"/>
      <c r="G121" s="17"/>
      <c r="H121" s="70"/>
      <c r="I121" s="101"/>
      <c r="J121" s="101">
        <f>185281.32-J107</f>
        <v>-38639.98</v>
      </c>
      <c r="K121" s="101"/>
      <c r="L121" s="101"/>
      <c r="M121" s="1"/>
    </row>
    <row r="122" spans="1:13" ht="15.75">
      <c r="A122" s="16"/>
      <c r="D122" s="17"/>
      <c r="E122" s="17"/>
      <c r="F122" s="17"/>
      <c r="G122" s="17"/>
      <c r="H122" s="1"/>
      <c r="I122" s="1"/>
      <c r="J122" s="1"/>
      <c r="K122" s="1"/>
      <c r="L122" s="1"/>
      <c r="M122" s="1"/>
    </row>
    <row r="123" spans="1:13" ht="15.75">
      <c r="A123" s="16"/>
      <c r="D123" s="17"/>
      <c r="E123" s="17"/>
      <c r="F123" s="17"/>
      <c r="G123" s="17"/>
      <c r="H123" s="1"/>
      <c r="I123" s="1"/>
      <c r="J123" s="1"/>
      <c r="K123" s="1"/>
      <c r="L123" s="1"/>
      <c r="M123" s="1"/>
    </row>
    <row r="124" spans="1:13" ht="15.75">
      <c r="A124" s="16"/>
      <c r="B124" s="1"/>
      <c r="D124" s="17"/>
      <c r="E124" s="17"/>
      <c r="F124" s="17"/>
      <c r="G124" s="17"/>
      <c r="H124" s="1"/>
      <c r="I124" s="1"/>
      <c r="J124" s="1"/>
      <c r="K124" s="1"/>
      <c r="L124" s="1"/>
      <c r="M124" s="1"/>
    </row>
    <row r="125" spans="1:13" ht="15.75">
      <c r="A125" s="16"/>
      <c r="B125" s="1"/>
      <c r="D125" s="17"/>
      <c r="E125" s="17"/>
      <c r="F125" s="17"/>
      <c r="G125" s="17"/>
      <c r="H125" s="1"/>
      <c r="I125" s="1"/>
      <c r="J125" s="1"/>
      <c r="K125" s="1"/>
      <c r="L125" s="1"/>
      <c r="M125" s="1"/>
    </row>
    <row r="126" spans="1:13" ht="15.75">
      <c r="A126" s="16"/>
      <c r="B126" s="1"/>
      <c r="D126" s="17"/>
      <c r="E126" s="17"/>
      <c r="F126" s="17"/>
      <c r="G126" s="17"/>
      <c r="H126" s="1"/>
      <c r="I126" s="1"/>
      <c r="J126" s="1"/>
      <c r="K126" s="1"/>
      <c r="L126" s="1"/>
      <c r="M126" s="1"/>
    </row>
    <row r="127" spans="1:13" ht="15.75">
      <c r="A127" s="16"/>
      <c r="D127" s="17"/>
      <c r="E127" s="17"/>
      <c r="F127" s="17"/>
      <c r="G127" s="17"/>
      <c r="H127" s="1"/>
      <c r="I127" s="1"/>
      <c r="J127" s="1"/>
      <c r="K127" s="1"/>
      <c r="L127" s="1"/>
      <c r="M127" s="1"/>
    </row>
    <row r="128" spans="1:13" ht="15.75">
      <c r="A128" s="16"/>
      <c r="D128" s="17"/>
      <c r="E128" s="17"/>
      <c r="F128" s="17"/>
      <c r="G128" s="17"/>
      <c r="H128" s="1"/>
      <c r="I128" s="1"/>
      <c r="J128" s="1"/>
      <c r="K128" s="1"/>
      <c r="L128" s="1"/>
      <c r="M128" s="1"/>
    </row>
    <row r="129" spans="1:13" ht="15.75">
      <c r="A129" s="16"/>
      <c r="D129" s="17"/>
      <c r="E129" s="17"/>
      <c r="F129" s="17"/>
      <c r="G129" s="17"/>
      <c r="H129" s="1"/>
      <c r="I129" s="1"/>
      <c r="J129" s="1"/>
      <c r="K129" s="1"/>
      <c r="L129" s="1"/>
      <c r="M129" s="1"/>
    </row>
    <row r="130" spans="1:13" ht="15.75">
      <c r="A130" s="16"/>
      <c r="D130" s="17"/>
      <c r="E130" s="17"/>
      <c r="F130" s="17"/>
      <c r="G130" s="17"/>
      <c r="H130" s="1"/>
      <c r="I130" s="1"/>
      <c r="J130" s="1"/>
      <c r="K130" s="1"/>
      <c r="L130" s="1"/>
      <c r="M130" s="1"/>
    </row>
    <row r="131" spans="1:13" ht="15.75">
      <c r="A131" s="16"/>
      <c r="D131" s="17"/>
      <c r="E131" s="17"/>
      <c r="F131" s="17"/>
      <c r="G131" s="17"/>
      <c r="H131" s="1"/>
      <c r="I131" s="1"/>
      <c r="J131" s="1"/>
      <c r="K131" s="1"/>
      <c r="L131" s="1"/>
      <c r="M131" s="1"/>
    </row>
    <row r="132" spans="1:13" ht="15.75">
      <c r="A132" s="16"/>
      <c r="D132" s="17"/>
      <c r="E132" s="17"/>
      <c r="F132" s="17"/>
      <c r="G132" s="17"/>
      <c r="H132" s="1"/>
      <c r="I132" s="1"/>
      <c r="J132" s="1"/>
      <c r="K132" s="1"/>
      <c r="L132" s="1"/>
      <c r="M132" s="1"/>
    </row>
    <row r="133" spans="1:13" ht="15.75">
      <c r="A133" s="16"/>
      <c r="D133" s="17"/>
      <c r="E133" s="17"/>
      <c r="F133" s="17"/>
      <c r="G133" s="17"/>
      <c r="H133" s="1"/>
      <c r="I133" s="1"/>
      <c r="J133" s="1"/>
      <c r="K133" s="1"/>
      <c r="L133" s="1"/>
      <c r="M133" s="1"/>
    </row>
    <row r="134" spans="1:13" ht="15.75">
      <c r="A134" s="16"/>
      <c r="D134" s="17"/>
      <c r="E134" s="17"/>
      <c r="F134" s="17"/>
      <c r="G134" s="17"/>
      <c r="H134" s="1"/>
      <c r="I134" s="1"/>
      <c r="J134" s="1"/>
      <c r="K134" s="1"/>
      <c r="L134" s="1"/>
      <c r="M134" s="1"/>
    </row>
    <row r="135" spans="1:13" ht="15.75">
      <c r="A135" s="16"/>
      <c r="D135" s="17"/>
      <c r="E135" s="17"/>
      <c r="F135" s="17"/>
      <c r="G135" s="17"/>
      <c r="H135" s="1"/>
      <c r="I135" s="1"/>
      <c r="J135" s="1"/>
      <c r="K135" s="1"/>
      <c r="L135" s="1"/>
      <c r="M135" s="1"/>
    </row>
    <row r="136" spans="1:13" ht="15.75">
      <c r="A136" s="16"/>
      <c r="D136" s="17"/>
      <c r="E136" s="17"/>
      <c r="F136" s="17"/>
      <c r="G136" s="17"/>
      <c r="H136" s="1"/>
      <c r="I136" s="1"/>
      <c r="J136" s="1"/>
      <c r="K136" s="1"/>
      <c r="L136" s="1"/>
      <c r="M136" s="1"/>
    </row>
    <row r="137" spans="1:13" ht="15.75">
      <c r="A137" s="16"/>
      <c r="D137" s="17"/>
      <c r="E137" s="17"/>
      <c r="F137" s="17"/>
      <c r="G137" s="17"/>
      <c r="H137" s="1"/>
      <c r="I137" s="1"/>
      <c r="J137" s="1"/>
      <c r="K137" s="1"/>
      <c r="L137" s="1"/>
      <c r="M137" s="1"/>
    </row>
    <row r="138" spans="1:13" ht="15.75">
      <c r="A138" s="16"/>
      <c r="D138" s="17"/>
      <c r="E138" s="17"/>
      <c r="F138" s="17"/>
      <c r="G138" s="17"/>
      <c r="H138" s="1"/>
      <c r="I138" s="1"/>
      <c r="J138" s="1"/>
      <c r="K138" s="1"/>
      <c r="L138" s="1"/>
      <c r="M138" s="1"/>
    </row>
    <row r="139" spans="1:13" ht="15.75">
      <c r="A139" s="16"/>
      <c r="D139" s="17"/>
      <c r="E139" s="17"/>
      <c r="F139" s="17"/>
      <c r="G139" s="17"/>
      <c r="H139" s="1"/>
      <c r="I139" s="1"/>
      <c r="J139" s="1"/>
      <c r="K139" s="1"/>
      <c r="L139" s="1"/>
      <c r="M139" s="1"/>
    </row>
  </sheetData>
  <sheetProtection/>
  <autoFilter ref="A4:Q107"/>
  <mergeCells count="154">
    <mergeCell ref="F26:F28"/>
    <mergeCell ref="A66:A68"/>
    <mergeCell ref="B66:B68"/>
    <mergeCell ref="C66:C68"/>
    <mergeCell ref="D66:D68"/>
    <mergeCell ref="E66:E68"/>
    <mergeCell ref="A26:A28"/>
    <mergeCell ref="B26:B28"/>
    <mergeCell ref="C26:C28"/>
    <mergeCell ref="D26:D28"/>
    <mergeCell ref="E26:E28"/>
    <mergeCell ref="C70:C73"/>
    <mergeCell ref="D70:D73"/>
    <mergeCell ref="E70:E73"/>
    <mergeCell ref="E33:E34"/>
    <mergeCell ref="C29:C30"/>
    <mergeCell ref="E45:E46"/>
    <mergeCell ref="E49:E55"/>
    <mergeCell ref="D77:D78"/>
    <mergeCell ref="E77:E78"/>
    <mergeCell ref="E75:E76"/>
    <mergeCell ref="A107:B107"/>
    <mergeCell ref="B108:N108"/>
    <mergeCell ref="F66:F68"/>
    <mergeCell ref="N71:N73"/>
    <mergeCell ref="C77:C78"/>
    <mergeCell ref="F70:F73"/>
    <mergeCell ref="N79:N80"/>
    <mergeCell ref="A102:A104"/>
    <mergeCell ref="A79:A80"/>
    <mergeCell ref="C75:C76"/>
    <mergeCell ref="A106:B106"/>
    <mergeCell ref="C99:C101"/>
    <mergeCell ref="A77:A78"/>
    <mergeCell ref="B75:B76"/>
    <mergeCell ref="C116:G116"/>
    <mergeCell ref="C117:G117"/>
    <mergeCell ref="C118:G118"/>
    <mergeCell ref="C109:G109"/>
    <mergeCell ref="C110:G110"/>
    <mergeCell ref="C111:G111"/>
    <mergeCell ref="C112:G112"/>
    <mergeCell ref="B114:N114"/>
    <mergeCell ref="C115:G115"/>
    <mergeCell ref="A35:A41"/>
    <mergeCell ref="A45:A46"/>
    <mergeCell ref="N31:N32"/>
    <mergeCell ref="F31:F32"/>
    <mergeCell ref="D31:D32"/>
    <mergeCell ref="N45:N46"/>
    <mergeCell ref="A31:A32"/>
    <mergeCell ref="B31:B32"/>
    <mergeCell ref="C31:C32"/>
    <mergeCell ref="F33:F34"/>
    <mergeCell ref="A70:A73"/>
    <mergeCell ref="D33:D34"/>
    <mergeCell ref="D45:D46"/>
    <mergeCell ref="D61:D65"/>
    <mergeCell ref="A48:N48"/>
    <mergeCell ref="N33:N34"/>
    <mergeCell ref="N49:N65"/>
    <mergeCell ref="A33:A34"/>
    <mergeCell ref="F45:F46"/>
    <mergeCell ref="N35:N43"/>
    <mergeCell ref="C20:C25"/>
    <mergeCell ref="A29:A30"/>
    <mergeCell ref="A75:A76"/>
    <mergeCell ref="B49:B55"/>
    <mergeCell ref="B45:B46"/>
    <mergeCell ref="C45:C46"/>
    <mergeCell ref="B70:B73"/>
    <mergeCell ref="B57:B58"/>
    <mergeCell ref="A20:A25"/>
    <mergeCell ref="C33:C34"/>
    <mergeCell ref="E20:E25"/>
    <mergeCell ref="D29:D30"/>
    <mergeCell ref="E31:E32"/>
    <mergeCell ref="B99:B100"/>
    <mergeCell ref="C57:C58"/>
    <mergeCell ref="D57:D58"/>
    <mergeCell ref="E57:E58"/>
    <mergeCell ref="C61:C65"/>
    <mergeCell ref="D20:D25"/>
    <mergeCell ref="C59:C60"/>
    <mergeCell ref="N99:N101"/>
    <mergeCell ref="A81:B81"/>
    <mergeCell ref="A82:N82"/>
    <mergeCell ref="B61:B65"/>
    <mergeCell ref="F61:F65"/>
    <mergeCell ref="N93:N94"/>
    <mergeCell ref="D75:D76"/>
    <mergeCell ref="A99:A101"/>
    <mergeCell ref="A91:I91"/>
    <mergeCell ref="C93:C94"/>
    <mergeCell ref="N7:N25"/>
    <mergeCell ref="F7:F13"/>
    <mergeCell ref="A47:B47"/>
    <mergeCell ref="C49:C55"/>
    <mergeCell ref="A17:A18"/>
    <mergeCell ref="B17:B18"/>
    <mergeCell ref="D49:D55"/>
    <mergeCell ref="F49:F55"/>
    <mergeCell ref="C17:C18"/>
    <mergeCell ref="B7:B13"/>
    <mergeCell ref="H1:I1"/>
    <mergeCell ref="A6:N6"/>
    <mergeCell ref="D15:D16"/>
    <mergeCell ref="E15:E16"/>
    <mergeCell ref="B15:B16"/>
    <mergeCell ref="D7:D13"/>
    <mergeCell ref="F15:F16"/>
    <mergeCell ref="E7:E13"/>
    <mergeCell ref="C15:C16"/>
    <mergeCell ref="A15:A16"/>
    <mergeCell ref="B20:B25"/>
    <mergeCell ref="F17:F18"/>
    <mergeCell ref="N29:N30"/>
    <mergeCell ref="M1:N1"/>
    <mergeCell ref="A2:N2"/>
    <mergeCell ref="A3:A4"/>
    <mergeCell ref="B3:B4"/>
    <mergeCell ref="C3:C4"/>
    <mergeCell ref="A5:N5"/>
    <mergeCell ref="D17:D18"/>
    <mergeCell ref="B93:B94"/>
    <mergeCell ref="H3:M3"/>
    <mergeCell ref="N3:N4"/>
    <mergeCell ref="F20:F25"/>
    <mergeCell ref="E29:E30"/>
    <mergeCell ref="F29:F30"/>
    <mergeCell ref="B33:B34"/>
    <mergeCell ref="B29:B30"/>
    <mergeCell ref="D3:G3"/>
    <mergeCell ref="C7:C13"/>
    <mergeCell ref="N77:N78"/>
    <mergeCell ref="C102:C103"/>
    <mergeCell ref="A7:A14"/>
    <mergeCell ref="B35:B41"/>
    <mergeCell ref="F59:F60"/>
    <mergeCell ref="E17:E18"/>
    <mergeCell ref="F57:F58"/>
    <mergeCell ref="D59:D60"/>
    <mergeCell ref="D93:D94"/>
    <mergeCell ref="A93:A94"/>
    <mergeCell ref="B59:B60"/>
    <mergeCell ref="A90:B90"/>
    <mergeCell ref="A49:A65"/>
    <mergeCell ref="N102:N104"/>
    <mergeCell ref="E59:E60"/>
    <mergeCell ref="F93:F94"/>
    <mergeCell ref="E61:E65"/>
    <mergeCell ref="N75:N76"/>
    <mergeCell ref="E93:E94"/>
    <mergeCell ref="F75:F76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8" r:id="rId1"/>
  <headerFooter alignWithMargins="0">
    <oddHeader>&amp;C&amp;P</oddHeader>
  </headerFooter>
  <rowBreaks count="4" manualBreakCount="4">
    <brk id="28" max="13" man="1"/>
    <brk id="44" max="13" man="1"/>
    <brk id="73" max="13" man="1"/>
    <brk id="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DOCUMENTOBOROT</cp:lastModifiedBy>
  <cp:lastPrinted>2016-04-20T09:09:49Z</cp:lastPrinted>
  <dcterms:created xsi:type="dcterms:W3CDTF">2005-05-23T09:57:53Z</dcterms:created>
  <dcterms:modified xsi:type="dcterms:W3CDTF">2016-04-20T09:10:34Z</dcterms:modified>
  <cp:category/>
  <cp:version/>
  <cp:contentType/>
  <cp:contentStatus/>
</cp:coreProperties>
</file>