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8955" windowHeight="11145" tabRatio="902" firstSheet="11" activeTab="14"/>
  </bookViews>
  <sheets>
    <sheet name="Показатели" sheetId="1" r:id="rId1"/>
    <sheet name="Долгосрочные показатели " sheetId="2" r:id="rId2"/>
    <sheet name="КАИП " sheetId="3" r:id="rId3"/>
    <sheet name="Распределение расходов" sheetId="4" r:id="rId4"/>
    <sheet name="НИД" sheetId="5" r:id="rId5"/>
    <sheet name="Ресурсное обеспечение" sheetId="6" r:id="rId6"/>
    <sheet name="Гос.задания" sheetId="7" r:id="rId7"/>
    <sheet name="Показатели подпрограммы 1" sheetId="8" r:id="rId8"/>
    <sheet name="Мероприятия подпрограммы 1" sheetId="9" r:id="rId9"/>
    <sheet name="Показатели подпрограммы 2" sheetId="10" r:id="rId10"/>
    <sheet name="!!!Мероприятия подпрограммы 2" sheetId="11" r:id="rId11"/>
    <sheet name="Показатели подпрограммы 3" sheetId="12" r:id="rId12"/>
    <sheet name="!!!Мероприятия подпрограммы 3" sheetId="13" r:id="rId13"/>
    <sheet name="Показатели подпрограммы 4" sheetId="14" r:id="rId14"/>
    <sheet name="!!!Мероприятия подпрограммы 4" sheetId="15" r:id="rId15"/>
  </sheets>
  <externalReferences>
    <externalReference r:id="rId18"/>
  </externalReferences>
  <definedNames>
    <definedName name="_xlnm._FilterDatabase" localSheetId="2" hidden="1">'КАИП '!$A$5:$I$5</definedName>
    <definedName name="_xlnm._FilterDatabase" localSheetId="8" hidden="1">'Мероприятия подпрограммы 1'!$A$4:$Q$96</definedName>
    <definedName name="Z_2166B299_1DBB_4BE8_98C9_E9EFB21DCA26_.wvu.FilterData" localSheetId="8" hidden="1">'Мероприятия подпрограммы 1'!$A$4:$Q$96</definedName>
    <definedName name="Z_2715DACA_7FC2_4162_875B_92B3FB82D8B1_.wvu.FilterData" localSheetId="8" hidden="1">'Мероприятия подпрограммы 1'!$A$4:$Q$96</definedName>
    <definedName name="Z_29BFB567_1C85_481C_A8AF_8210D8E0792F_.wvu.FilterData" localSheetId="8" hidden="1">'Мероприятия подпрограммы 1'!$A$4:$Q$96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Cols" localSheetId="7" hidden="1">'Показатели подпрограммы 1'!$D:$D</definedName>
    <definedName name="Z_4767DD30_F6FB_4FF0_A429_8866A8232500_.wvu.Cols" localSheetId="9" hidden="1">'Показатели подпрограммы 2'!$E:$E</definedName>
    <definedName name="Z_4767DD30_F6FB_4FF0_A429_8866A8232500_.wvu.Cols" localSheetId="11" hidden="1">'Показатели подпрограммы 3'!$E:$E</definedName>
    <definedName name="Z_4767DD30_F6FB_4FF0_A429_8866A8232500_.wvu.FilterData" localSheetId="2" hidden="1">'КАИП '!$A$5:$I$5</definedName>
    <definedName name="Z_4767DD30_F6FB_4FF0_A429_8866A8232500_.wvu.FilterData" localSheetId="8" hidden="1">'Мероприятия подпрограммы 1'!$A$4:$Q$96</definedName>
    <definedName name="Z_4767DD30_F6FB_4FF0_A429_8866A8232500_.wvu.PrintArea" localSheetId="10" hidden="1">'!!!Мероприятия подпрограммы 2'!$A$1:$N$30</definedName>
    <definedName name="Z_4767DD30_F6FB_4FF0_A429_8866A8232500_.wvu.PrintArea" localSheetId="12" hidden="1">'!!!Мероприятия подпрограммы 3'!$A$1:$N$65</definedName>
    <definedName name="Z_4767DD30_F6FB_4FF0_A429_8866A8232500_.wvu.PrintArea" localSheetId="14" hidden="1">'!!!Мероприятия подпрограммы 4'!$A$1:$N$20</definedName>
    <definedName name="Z_4767DD30_F6FB_4FF0_A429_8866A8232500_.wvu.PrintArea" localSheetId="6" hidden="1">'Гос.задания'!$A$1:$M$17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2" hidden="1">'КАИП '!$A$1:$I$19</definedName>
    <definedName name="Z_4767DD30_F6FB_4FF0_A429_8866A8232500_.wvu.PrintArea" localSheetId="8" hidden="1">'Мероприятия подпрограммы 1'!$A$1:$N$99</definedName>
    <definedName name="Z_4767DD30_F6FB_4FF0_A429_8866A8232500_.wvu.PrintArea" localSheetId="0" hidden="1">'Показатели'!$A$1:$K$51</definedName>
    <definedName name="Z_4767DD30_F6FB_4FF0_A429_8866A8232500_.wvu.PrintArea" localSheetId="7" hidden="1">'Показатели подпрограммы 1'!$A$1:$H$31</definedName>
    <definedName name="Z_4767DD30_F6FB_4FF0_A429_8866A8232500_.wvu.PrintArea" localSheetId="9" hidden="1">'Показатели подпрограммы 2'!$A$1:$J$9</definedName>
    <definedName name="Z_4767DD30_F6FB_4FF0_A429_8866A8232500_.wvu.PrintArea" localSheetId="11" hidden="1">'Показатели подпрограммы 3'!$A$1:$I$12</definedName>
    <definedName name="Z_4767DD30_F6FB_4FF0_A429_8866A8232500_.wvu.PrintArea" localSheetId="13" hidden="1">'Показатели подпрограммы 4'!$A$1:$H$12</definedName>
    <definedName name="Z_4767DD30_F6FB_4FF0_A429_8866A8232500_.wvu.PrintArea" localSheetId="3" hidden="1">'Распределение расходов'!$A$1:$M$29</definedName>
    <definedName name="Z_4767DD30_F6FB_4FF0_A429_8866A8232500_.wvu.PrintArea" localSheetId="5" hidden="1">'Ресурсное обеспечение'!$A$1:$I$40</definedName>
    <definedName name="Z_4767DD30_F6FB_4FF0_A429_8866A8232500_.wvu.PrintTitles" localSheetId="10" hidden="1">'!!!Мероприятия подпрограммы 2'!$3:$4</definedName>
    <definedName name="Z_4767DD30_F6FB_4FF0_A429_8866A8232500_.wvu.PrintTitles" localSheetId="12" hidden="1">'!!!Мероприятия подпрограммы 3'!$3:$4</definedName>
    <definedName name="Z_4767DD30_F6FB_4FF0_A429_8866A8232500_.wvu.PrintTitles" localSheetId="14" hidden="1">'!!!Мероприятия подпрограммы 4'!$3:$4</definedName>
    <definedName name="Z_4767DD30_F6FB_4FF0_A429_8866A8232500_.wvu.PrintTitles" localSheetId="6" hidden="1">'Гос.задания'!$3:$4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2" hidden="1">'КАИП '!$3:$5</definedName>
    <definedName name="Z_4767DD30_F6FB_4FF0_A429_8866A8232500_.wvu.PrintTitles" localSheetId="8" hidden="1">'Мероприятия подпрограммы 1'!$3:$4</definedName>
    <definedName name="Z_4767DD30_F6FB_4FF0_A429_8866A8232500_.wvu.PrintTitles" localSheetId="0" hidden="1">'Показатели'!$3:$5</definedName>
    <definedName name="Z_4767DD30_F6FB_4FF0_A429_8866A8232500_.wvu.PrintTitles" localSheetId="7" hidden="1">'Показатели подпрограммы 1'!$3:$5</definedName>
    <definedName name="Z_4767DD30_F6FB_4FF0_A429_8866A8232500_.wvu.PrintTitles" localSheetId="9" hidden="1">'Показатели подпрограммы 2'!$3:$5</definedName>
    <definedName name="Z_4767DD30_F6FB_4FF0_A429_8866A8232500_.wvu.PrintTitles" localSheetId="11" hidden="1">'Показатели подпрограммы 3'!$3:$5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5" hidden="1">'Ресурсное обеспечение'!$3:$4</definedName>
    <definedName name="Z_4767DD30_F6FB_4FF0_A429_8866A8232500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4767DD30_F6FB_4FF0_A429_8866A8232500_.wvu.Rows" localSheetId="12" hidden="1">'!!!Мероприятия подпрограммы 3'!$34:$34,'!!!Мероприятия подпрограммы 3'!$40:$40,'!!!Мероприятия подпрограммы 3'!$42:$42,'!!!Мероприятия подпрограммы 3'!$46:$46,'!!!Мероприятия подпрограммы 3'!$48:$48,'!!!Мероприятия подпрограммы 3'!$52:$53,'!!!Мероприятия подпрограммы 3'!$56:$56,'!!!Мероприятия подпрограммы 3'!$63:$64</definedName>
    <definedName name="Z_4767DD30_F6FB_4FF0_A429_8866A8232500_.wvu.Rows" localSheetId="14" hidden="1">'!!!Мероприятия подпрограммы 4'!#REF!,'!!!Мероприятия подпрограммы 4'!#REF!</definedName>
    <definedName name="Z_4767DD30_F6FB_4FF0_A429_8866A8232500_.wvu.Rows" localSheetId="2" hidden="1">'КАИП '!#REF!,'КАИП '!$17:$18</definedName>
    <definedName name="Z_4767DD30_F6FB_4FF0_A429_8866A8232500_.wvu.Rows" localSheetId="8" hidden="1">'Мероприятия подпрограммы 1'!$10:$10,'Мероприятия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8" hidden="1">'Мероприятия подпрограммы 1'!$A$4:$Q$96</definedName>
    <definedName name="Z_7C917F30_361A_4C86_9002_2134EAE2E3CF_.wvu.Cols" localSheetId="7" hidden="1">'Показатели подпрограммы 1'!$D:$D</definedName>
    <definedName name="Z_7C917F30_361A_4C86_9002_2134EAE2E3CF_.wvu.Cols" localSheetId="9" hidden="1">'Показатели подпрограммы 2'!$E:$E</definedName>
    <definedName name="Z_7C917F30_361A_4C86_9002_2134EAE2E3CF_.wvu.Cols" localSheetId="11" hidden="1">'Показатели подпрограммы 3'!$E:$E</definedName>
    <definedName name="Z_7C917F30_361A_4C86_9002_2134EAE2E3CF_.wvu.FilterData" localSheetId="2" hidden="1">'КАИП '!$A$5:$I$5</definedName>
    <definedName name="Z_7C917F30_361A_4C86_9002_2134EAE2E3CF_.wvu.FilterData" localSheetId="8" hidden="1">'Мероприятия подпрограммы 1'!$A$4:$Q$96</definedName>
    <definedName name="Z_7C917F30_361A_4C86_9002_2134EAE2E3CF_.wvu.PrintArea" localSheetId="10" hidden="1">'!!!Мероприятия подпрограммы 2'!$A$1:$N$30</definedName>
    <definedName name="Z_7C917F30_361A_4C86_9002_2134EAE2E3CF_.wvu.PrintArea" localSheetId="6" hidden="1">'Гос.задания'!$A$1:$M$17</definedName>
    <definedName name="Z_7C917F30_361A_4C86_9002_2134EAE2E3CF_.wvu.PrintArea" localSheetId="8" hidden="1">'Мероприятия подпрограммы 1'!$A$1:$N$99</definedName>
    <definedName name="Z_7C917F30_361A_4C86_9002_2134EAE2E3CF_.wvu.PrintArea" localSheetId="7" hidden="1">'Показатели подпрограммы 1'!$A$1:$H$31</definedName>
    <definedName name="Z_7C917F30_361A_4C86_9002_2134EAE2E3CF_.wvu.PrintArea" localSheetId="9" hidden="1">'Показатели подпрограммы 2'!$A$1:$J$9</definedName>
    <definedName name="Z_7C917F30_361A_4C86_9002_2134EAE2E3CF_.wvu.PrintArea" localSheetId="11" hidden="1">'Показатели подпрограммы 3'!$A$1:$I$12</definedName>
    <definedName name="Z_7C917F30_361A_4C86_9002_2134EAE2E3CF_.wvu.PrintArea" localSheetId="13" hidden="1">'Показатели подпрограммы 4'!$A$1:$H$12</definedName>
    <definedName name="Z_7C917F30_361A_4C86_9002_2134EAE2E3CF_.wvu.PrintArea" localSheetId="5" hidden="1">'Ресурсное обеспечение'!$A$1:$I$40</definedName>
    <definedName name="Z_7C917F30_361A_4C86_9002_2134EAE2E3CF_.wvu.PrintTitles" localSheetId="10" hidden="1">'!!!Мероприятия подпрограммы 2'!$3:$4</definedName>
    <definedName name="Z_7C917F30_361A_4C86_9002_2134EAE2E3CF_.wvu.PrintTitles" localSheetId="12" hidden="1">'!!!Мероприятия подпрограммы 3'!$3:$4</definedName>
    <definedName name="Z_7C917F30_361A_4C86_9002_2134EAE2E3CF_.wvu.PrintTitles" localSheetId="14" hidden="1">'!!!Мероприятия подпрограммы 4'!$3:$4</definedName>
    <definedName name="Z_7C917F30_361A_4C86_9002_2134EAE2E3CF_.wvu.PrintTitles" localSheetId="6" hidden="1">'Гос.задания'!$3:$4</definedName>
    <definedName name="Z_7C917F30_361A_4C86_9002_2134EAE2E3CF_.wvu.PrintTitles" localSheetId="8" hidden="1">'Мероприятия подпрограммы 1'!$3:$4</definedName>
    <definedName name="Z_7C917F30_361A_4C86_9002_2134EAE2E3CF_.wvu.PrintTitles" localSheetId="7" hidden="1">'Показатели подпрограммы 1'!$3:$5</definedName>
    <definedName name="Z_7C917F30_361A_4C86_9002_2134EAE2E3CF_.wvu.PrintTitles" localSheetId="9" hidden="1">'Показатели подпрограммы 2'!$3:$5</definedName>
    <definedName name="Z_7C917F30_361A_4C86_9002_2134EAE2E3CF_.wvu.PrintTitles" localSheetId="11" hidden="1">'Показатели подпрограммы 3'!$3:$5</definedName>
    <definedName name="Z_7C917F30_361A_4C86_9002_2134EAE2E3CF_.wvu.PrintTitles" localSheetId="5" hidden="1">'Ресурсное обеспечение'!$3:$4</definedName>
    <definedName name="Z_7C917F30_361A_4C86_9002_2134EAE2E3CF_.wvu.Rows" localSheetId="10" hidden="1">'!!!Мероприятия подпрограммы 2'!$8:$8,'!!!Мероприятия подпрограммы 2'!#REF!,'!!!Мероприятия подпрограммы 2'!$13:$19,'!!!Мероприятия подпрограммы 2'!$25:$25</definedName>
    <definedName name="Z_7C917F30_361A_4C86_9002_2134EAE2E3CF_.wvu.Rows" localSheetId="12" hidden="1">'!!!Мероприятия подпрограммы 3'!#REF!,'!!!Мероприятия подпрограммы 3'!#REF!,'!!!Мероприятия подпрограммы 3'!$40:$40,'!!!Мероприятия подпрограммы 3'!$42:$42,'!!!Мероприятия подпрограммы 3'!$63:$64</definedName>
    <definedName name="Z_7C917F30_361A_4C86_9002_2134EAE2E3CF_.wvu.Rows" localSheetId="14" hidden="1">'!!!Мероприятия подпрограммы 4'!#REF!,'!!!Мероприятия подпрограммы 4'!#REF!</definedName>
    <definedName name="Z_7C917F30_361A_4C86_9002_2134EAE2E3CF_.wvu.Rows" localSheetId="8" hidden="1">'Мероприятия подпрограммы 1'!$10:$10,'Мероприятия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8" hidden="1">'Мероприятия подпрограммы 1'!$A$4:$Q$96</definedName>
    <definedName name="Z_AD6F79BD_847B_4421_A1AA_268A55FACAB4_.wvu.FilterData" localSheetId="8" hidden="1">'Мероприятия подпрограммы 1'!$A$4:$Q$96</definedName>
    <definedName name="Z_B45C2115_52AF_4E7B_8578_551FB3CF371E_.wvu.FilterData" localSheetId="8" hidden="1">'Мероприятия подпрограммы 1'!$A$4:$Q$96</definedName>
    <definedName name="Z_C75D4C66_EC35_48DB_8FCD_E29923CDB091_.wvu.FilterData" localSheetId="8" hidden="1">'Мероприятия подпрограммы 1'!$A$4:$Q$96</definedName>
    <definedName name="Z_CDE1D6F6_68DF_42F8_B01A_FF6465B24CCD_.wvu.Cols" localSheetId="7" hidden="1">'Показатели подпрограммы 1'!$D:$D</definedName>
    <definedName name="Z_CDE1D6F6_68DF_42F8_B01A_FF6465B24CCD_.wvu.Cols" localSheetId="9" hidden="1">'Показатели подпрограммы 2'!$E:$E</definedName>
    <definedName name="Z_CDE1D6F6_68DF_42F8_B01A_FF6465B24CCD_.wvu.Cols" localSheetId="11" hidden="1">'Показатели подпрограммы 3'!$E:$E</definedName>
    <definedName name="Z_CDE1D6F6_68DF_42F8_B01A_FF6465B24CCD_.wvu.FilterData" localSheetId="2" hidden="1">'КАИП '!$A$5:$I$5</definedName>
    <definedName name="Z_CDE1D6F6_68DF_42F8_B01A_FF6465B24CCD_.wvu.FilterData" localSheetId="8" hidden="1">'Мероприятия подпрограммы 1'!$A$4:$Q$96</definedName>
    <definedName name="Z_CDE1D6F6_68DF_42F8_B01A_FF6465B24CCD_.wvu.PrintArea" localSheetId="10" hidden="1">'!!!Мероприятия подпрограммы 2'!$A$1:$N$30</definedName>
    <definedName name="Z_CDE1D6F6_68DF_42F8_B01A_FF6465B24CCD_.wvu.PrintArea" localSheetId="12" hidden="1">'!!!Мероприятия подпрограммы 3'!$A$1:$N$65</definedName>
    <definedName name="Z_CDE1D6F6_68DF_42F8_B01A_FF6465B24CCD_.wvu.PrintArea" localSheetId="14" hidden="1">'!!!Мероприятия подпрограммы 4'!$A$1:$N$20</definedName>
    <definedName name="Z_CDE1D6F6_68DF_42F8_B01A_FF6465B24CCD_.wvu.PrintArea" localSheetId="6" hidden="1">'Гос.задания'!$A$1:$M$17</definedName>
    <definedName name="Z_CDE1D6F6_68DF_42F8_B01A_FF6465B24CCD_.wvu.PrintArea" localSheetId="8" hidden="1">'Мероприятия подпрограммы 1'!$A$1:$N$99</definedName>
    <definedName name="Z_CDE1D6F6_68DF_42F8_B01A_FF6465B24CCD_.wvu.PrintArea" localSheetId="7" hidden="1">'Показатели подпрограммы 1'!$A$1:$H$31</definedName>
    <definedName name="Z_CDE1D6F6_68DF_42F8_B01A_FF6465B24CCD_.wvu.PrintArea" localSheetId="9" hidden="1">'Показатели подпрограммы 2'!$A$1:$J$9</definedName>
    <definedName name="Z_CDE1D6F6_68DF_42F8_B01A_FF6465B24CCD_.wvu.PrintArea" localSheetId="11" hidden="1">'Показатели подпрограммы 3'!$A$1:$I$12</definedName>
    <definedName name="Z_CDE1D6F6_68DF_42F8_B01A_FF6465B24CCD_.wvu.PrintArea" localSheetId="13" hidden="1">'Показатели подпрограммы 4'!$A$1:$H$12</definedName>
    <definedName name="Z_CDE1D6F6_68DF_42F8_B01A_FF6465B24CCD_.wvu.PrintArea" localSheetId="3" hidden="1">'Распределение расходов'!$A$1:$M$29</definedName>
    <definedName name="Z_CDE1D6F6_68DF_42F8_B01A_FF6465B24CCD_.wvu.PrintArea" localSheetId="5" hidden="1">'Ресурсное обеспечение'!$A$1:$I$40</definedName>
    <definedName name="Z_CDE1D6F6_68DF_42F8_B01A_FF6465B24CCD_.wvu.PrintTitles" localSheetId="10" hidden="1">'!!!Мероприятия подпрограммы 2'!$3:$4</definedName>
    <definedName name="Z_CDE1D6F6_68DF_42F8_B01A_FF6465B24CCD_.wvu.PrintTitles" localSheetId="12" hidden="1">'!!!Мероприятия подпрограммы 3'!$3:$4</definedName>
    <definedName name="Z_CDE1D6F6_68DF_42F8_B01A_FF6465B24CCD_.wvu.PrintTitles" localSheetId="14" hidden="1">'!!!Мероприятия подпрограммы 4'!$3:$4</definedName>
    <definedName name="Z_CDE1D6F6_68DF_42F8_B01A_FF6465B24CCD_.wvu.PrintTitles" localSheetId="6" hidden="1">'Гос.задания'!$3:$4</definedName>
    <definedName name="Z_CDE1D6F6_68DF_42F8_B01A_FF6465B24CCD_.wvu.PrintTitles" localSheetId="8" hidden="1">'Мероприятия подпрограммы 1'!$3:$4</definedName>
    <definedName name="Z_CDE1D6F6_68DF_42F8_B01A_FF6465B24CCD_.wvu.PrintTitles" localSheetId="7" hidden="1">'Показатели подпрограммы 1'!$3:$5</definedName>
    <definedName name="Z_CDE1D6F6_68DF_42F8_B01A_FF6465B24CCD_.wvu.PrintTitles" localSheetId="9" hidden="1">'Показатели подпрограммы 2'!$3:$5</definedName>
    <definedName name="Z_CDE1D6F6_68DF_42F8_B01A_FF6465B24CCD_.wvu.PrintTitles" localSheetId="11" hidden="1">'Показатели подпрограммы 3'!$3:$5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5" hidden="1">'Ресурсное обеспечение'!$3:$4</definedName>
    <definedName name="Z_CDE1D6F6_68DF_42F8_B01A_FF6465B24CCD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CDE1D6F6_68DF_42F8_B01A_FF6465B24CCD_.wvu.Rows" localSheetId="12" hidden="1">'!!!Мероприятия подпрограммы 3'!$34:$34,'!!!Мероприятия подпрограммы 3'!$40:$40,'!!!Мероприятия подпрограммы 3'!$42:$42,'!!!Мероприятия подпрограммы 3'!$46:$46,'!!!Мероприятия подпрограммы 3'!$48:$48,'!!!Мероприятия подпрограммы 3'!$52:$53,'!!!Мероприятия подпрограммы 3'!$56:$56,'!!!Мероприятия подпрограммы 3'!$63:$64</definedName>
    <definedName name="Z_CDE1D6F6_68DF_42F8_B01A_FF6465B24CCD_.wvu.Rows" localSheetId="14" hidden="1">'!!!Мероприятия подпрограммы 4'!#REF!,'!!!Мероприятия подпрограммы 4'!#REF!</definedName>
    <definedName name="Z_D97B14A5_4ECD_4EB7_B8A7_D41E462F19A2_.wvu.FilterData" localSheetId="8" hidden="1">'Мероприятия подпрограммы 1'!$A$4:$Q$96</definedName>
    <definedName name="Z_FAC3C627_8E23_41AB_B3FB_95B33614D8DB_.wvu.FilterData" localSheetId="8" hidden="1">'Мероприятия подпрограммы 1'!$A$4:$Q$96</definedName>
    <definedName name="_xlnm.Print_Titles" localSheetId="10">'!!!Мероприятия подпрограммы 2'!$3:$4</definedName>
    <definedName name="_xlnm.Print_Titles" localSheetId="12">'!!!Мероприятия подпрограммы 3'!$3:$4</definedName>
    <definedName name="_xlnm.Print_Titles" localSheetId="14">'!!!Мероприятия подпрограммы 4'!$3:$4</definedName>
    <definedName name="_xlnm.Print_Titles" localSheetId="6">'Гос.задания'!$3:$4</definedName>
    <definedName name="_xlnm.Print_Titles" localSheetId="1">'Долгосрочные показатели '!$3:$4</definedName>
    <definedName name="_xlnm.Print_Titles" localSheetId="2">'КАИП '!$3:$5</definedName>
    <definedName name="_xlnm.Print_Titles" localSheetId="8">'Мероприятия подпрограммы 1'!$3:$4</definedName>
    <definedName name="_xlnm.Print_Titles" localSheetId="0">'Показатели'!$3:$5</definedName>
    <definedName name="_xlnm.Print_Titles" localSheetId="7">'Показатели подпрограммы 1'!$3:$5</definedName>
    <definedName name="_xlnm.Print_Titles" localSheetId="9">'Показатели подпрограммы 2'!$3:$5</definedName>
    <definedName name="_xlnm.Print_Titles" localSheetId="11">'Показатели подпрограммы 3'!$3:$5</definedName>
    <definedName name="_xlnm.Print_Titles" localSheetId="3">'Распределение расходов'!$3:$4</definedName>
    <definedName name="_xlnm.Print_Titles" localSheetId="5">'Ресурсное обеспечение'!$3:$4</definedName>
    <definedName name="_xlnm.Print_Area" localSheetId="10">'!!!Мероприятия подпрограммы 2'!$A$1:$N$30</definedName>
    <definedName name="_xlnm.Print_Area" localSheetId="12">'!!!Мероприятия подпрограммы 3'!$A$1:$N$59</definedName>
    <definedName name="_xlnm.Print_Area" localSheetId="14">'!!!Мероприятия подпрограммы 4'!$A$1:$N$20</definedName>
    <definedName name="_xlnm.Print_Area" localSheetId="6">'Гос.задания'!$A$1:$O$17</definedName>
    <definedName name="_xlnm.Print_Area" localSheetId="1">'Долгосрочные показатели '!$A$1:$S$9</definedName>
    <definedName name="_xlnm.Print_Area" localSheetId="2">'КАИП '!$A$1:$I$19</definedName>
    <definedName name="_xlnm.Print_Area" localSheetId="8">'Мероприятия подпрограммы 1'!$A$1:$N$96</definedName>
    <definedName name="_xlnm.Print_Area" localSheetId="0">'Показатели'!$A$1:$L$50</definedName>
    <definedName name="_xlnm.Print_Area" localSheetId="7">'Показатели подпрограммы 1'!$A$1:$J$31</definedName>
    <definedName name="_xlnm.Print_Area" localSheetId="9">'Показатели подпрограммы 2'!$A$1:$L$9</definedName>
    <definedName name="_xlnm.Print_Area" localSheetId="11">'Показатели подпрограммы 3'!$A$1:$K$12</definedName>
    <definedName name="_xlnm.Print_Area" localSheetId="13">'Показатели подпрограммы 4'!$A$1:$J$11</definedName>
    <definedName name="_xlnm.Print_Area" localSheetId="3">'Распределение расходов'!$A$1:$M$29</definedName>
    <definedName name="_xlnm.Print_Area" localSheetId="5">'Ресурсное обеспечение'!$A$1:$I$40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8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<sst xmlns="http://schemas.openxmlformats.org/spreadsheetml/2006/main" count="1276" uniqueCount="548">
  <si>
    <t>Задача № 1. Создать условия, отвечающие современным требованиям для воспитания детей-сирот и детей, оставшихся без попечения родителей, проживающих в детском доме, замещающих семьях и обеспечить реализацию мероприятий, направленных на развитие в Большеулуйском районе семейных форм воспитания детей-сирот и детей, оставшихся без попечения родителей</t>
  </si>
  <si>
    <t>Проведение мероприятий, позволяющих детям-сиротам, детям, оставшимся без попечения родителей проявить себя</t>
  </si>
  <si>
    <t>Ежегодно проведено 5 мероприятий, в которых приняло участие 106 детей.Ежегодно изготовлено 300 экземпляров печатной продукции для детей</t>
  </si>
  <si>
    <t>Изготовление печатной продукции для детей-сирот и детей, оставшихся без попечения родителей для постинтернатного сопровождения</t>
  </si>
  <si>
    <t xml:space="preserve"> Ежегодно приобретена одежда, обувь для 5 детей</t>
  </si>
  <si>
    <t>Обеспечение проведения  мероприятий для многодетных семей,  в том числе для опекаемых семей</t>
  </si>
  <si>
    <t>Ежегодно проведено 4 мероприятия, в которых приняло участие 250 человек</t>
  </si>
  <si>
    <t>3.1.5</t>
  </si>
  <si>
    <t>Оплата стоимости справок, заключений, актов БТИ для защиты  жилищных прав детей-сирот, детей, оставшихся без попечения родителей и лиц из их числа</t>
  </si>
  <si>
    <t>Ежегодно оплачены услуги БТИ по оплате за справки, акты, заключения для 50 детей-сирот, детей, оставшихся без попечения родителей</t>
  </si>
  <si>
    <t>Задача № 2.</t>
  </si>
  <si>
    <t xml:space="preserve">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</si>
  <si>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Задача № 3  Обеспечить реализацию мероприятий, направленных на развитие в Красноярском крае семейных форм воспитания детей-сирот и детей, оставшихся без попечения родителей</t>
  </si>
  <si>
    <t>Обеспечить поддержку  одиноким матерям, матерям  из малообеспеченных, многодетных  семей;</t>
  </si>
  <si>
    <t>Задача № 4. Обеспечить защиту прав несовершеннолетних детей, находящихся в социально-опасном положении</t>
  </si>
  <si>
    <t>3.4.1</t>
  </si>
  <si>
    <t>Приобретение канцелярских товаров, одежды, обуви учащимся в возрасте до восемнадцати лет, находящимся в социально-опасном положении в ходе проведения районной акции "Помоги пойти учиться"</t>
  </si>
  <si>
    <t>Ежегодно оказана материальная помощь 50 детям, находящимся в социально-опасном положении при подготовке к учебной деятельности</t>
  </si>
  <si>
    <t>3.4.2</t>
  </si>
  <si>
    <t>Изготовление печатной продукции для родителей с разъяснением их обязанностей по воспитанию, содержанию, обучению, защите прав детей, профилактике жестокого обращения с детьми</t>
  </si>
  <si>
    <t>Обеспечить защиту прав несовершеннолетних детей, находящихся в социально-опасном положении печатной продукции для родителей</t>
  </si>
  <si>
    <t>3.4.3</t>
  </si>
  <si>
    <t>Проведение мероприятий с несовершеннолетними, находящимися в социально-опасном положении с целью социализации в общественную жизнь района</t>
  </si>
  <si>
    <t>Ежегодно проведено 4 мероприятия для детей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</si>
  <si>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</si>
  <si>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</si>
  <si>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</si>
  <si>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</si>
  <si>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</si>
  <si>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
</t>
    </r>
  </si>
  <si>
    <t xml:space="preserve">Обеспечение реализации образовательных программ для различных категорий детей  (ежегодно в 10 общеобразовательных  учреждениях) 
</t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</si>
  <si>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</si>
  <si>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</si>
  <si>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</si>
  <si>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</si>
  <si>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</si>
  <si>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</si>
  <si>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 xml:space="preserve">Организация питания участников государственной (итоговой) аттестации выпускников </t>
  </si>
  <si>
    <t>137</t>
  </si>
  <si>
    <t>3.2.1</t>
  </si>
  <si>
    <t>МУ "Централизованная бухгалтерия"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</si>
  <si>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</si>
  <si>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</si>
  <si>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Задача 1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</si>
  <si>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</si>
  <si>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</si>
  <si>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</si>
  <si>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</si>
  <si>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</si>
  <si>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 xml:space="preserve">Обеспечение деятельности (оказание услуг) ПМПК </t>
  </si>
  <si>
    <t xml:space="preserve">Задача 2 Обеспечение методического сопровождения введения федеральных государственных образовательных стандартов дошкольного, начального, основного и среднего общего образования. 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</si>
  <si>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</si>
  <si>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</si>
  <si>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0227556</t>
  </si>
  <si>
    <t>Цель: создать условия для эффективного управления отраслью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</si>
  <si>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</si>
  <si>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</si>
  <si>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</si>
  <si>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Подпрограмма 1 «Развитие дошкольного и общего  образования детей» </t>
  </si>
  <si>
    <t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</si>
  <si>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</si>
  <si>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>Обеспечить доступность общего образования, соответствующего федеральному государственному стандарту общего образования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</si>
  <si>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муниципальных общеобразовательных организаций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</si>
  <si>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</si>
  <si>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отдел  социальной защиты населения Администрации Большеулуйского района</t>
  </si>
  <si>
    <t>Количество   матерей имеющих постоянную регистрацию на территории Большеулуйского района, которым оказана материальная помощь при рождении ребенка в виде комплекта для новорожденного, либо денежной выплаты в виде 3000-00 рублей</t>
  </si>
  <si>
    <t xml:space="preserve">Оказать материальную помощь   матерям,имеющим постоянную регистрацию на территории Большеулуйского района,    при рождении ребенка в виде пакета для новорожденного, либо денежной выплаты в размере 3000-00 рублей  </t>
  </si>
  <si>
    <t>Отдел социальной защиты населения Администрации Большеулуйского района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</si>
  <si>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</si>
  <si>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</si>
  <si>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</si>
  <si>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</si>
  <si>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</si>
  <si>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3.1.3</t>
  </si>
  <si>
    <t>3.1.4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</si>
  <si>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</si>
  <si>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</si>
  <si>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t>
  </si>
  <si>
    <t xml:space="preserve">Отношение среднего балла ЕГЭ (в расчете на 1 предмет) в 10 % школ Большеулуйского района   с лучшими результатами ЕГЭ к среднему баллу ЕГЭ (в расчете на 1 предмет) в 10 % школ Большеулуйского района с худшими результатами ЕГЭ
</t>
  </si>
  <si>
    <t>Муниципальная программа</t>
  </si>
  <si>
    <t>«Развитие образования 
Большеулуйского района на 2014-2016 годы»</t>
  </si>
  <si>
    <t>Муниципальная  программа</t>
  </si>
  <si>
    <t>«Развитие образования Большеулуйского района 
на 2014-2016 годы»</t>
  </si>
  <si>
    <t>Наименование муниципальной программы, подпрограммы   муниципальной программы</t>
  </si>
  <si>
    <t>«Развитие дошкольного и общего образования детей»</t>
  </si>
  <si>
    <t>«Обеспечение реализации муниципальной программы и прочие мероприятия»</t>
  </si>
  <si>
    <t>Подпрограмма 1. «Развитие дошкольного и общего  образования детей»</t>
  </si>
  <si>
    <t>Цель: создание в системе дошкольного и общего 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</si>
  <si>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муниципальныхобразовательных организаций, реализующих программы общего образования 
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</si>
  <si>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</si>
  <si>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Удельный вес общеобразовательных организаций,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 муниципальных организаций общего образования, расположенных на территории Большеулуйского района</t>
  </si>
  <si>
    <t xml:space="preserve">отдел образования администрации Большеулуйского района 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</si>
  <si>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Большеулуйского района
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</si>
  <si>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</si>
  <si>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</si>
  <si>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«Развитие дошкольного и общего  образования детей»</t>
  </si>
  <si>
    <t xml:space="preserve">Осуществление ежегодно выплат 1 муниципальному образовательному учреждениею, успешно  реализующему  школьную программу по работе с одаренными детьми </t>
  </si>
  <si>
    <t>Стипендия победителю районного конкурса "Ученик года"</t>
  </si>
  <si>
    <t>Ежегодно стипендию получит победитель конкурса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</si>
  <si>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</si>
  <si>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</t>
  </si>
  <si>
    <t>Ежегодно, на августовском педагогическом совете, 3 учителя, набравшие наибольшее количество баллов,  по результатм краевого рейтинга получат денежное вознаграждение или ценный подарок</t>
  </si>
  <si>
    <t xml:space="preserve">Денежные  премии учителям, набравшим  наибольшее количество баллов,  по результатм краевого рейтинга </t>
  </si>
  <si>
    <t xml:space="preserve">Вознаграждение общеобразовательного учреждения за  реализацию школьной программы по работе с одаренными детьми  </t>
  </si>
  <si>
    <t>Проведение конкурсов, конференций по научно-исследовательской и проектной направленности для учащихся Большеулуйского района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</si>
  <si>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</si>
  <si>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</si>
  <si>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>Организация однодневных и многодневных туристических походв и сплавов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</si>
  <si>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</si>
  <si>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</si>
  <si>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Обеспечена деятельность районного туристического передвижного палаточного лагеря с охватом не менее 20 детей и подроствок ежегодно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</si>
  <si>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</si>
  <si>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</si>
  <si>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Награждение юбиляров в возрасте 50,55,60,65 и т.д.лет. Награждение педагогов-стажистов, которые отработали в системе образования 25, 30. 35. 40, 45 лет. Награждение лучших учителей за высокие показатели по результатам учебного года не менее 35 человек.</t>
  </si>
  <si>
    <t>Ежегодно 3 специалистам будет производиться оплата за  аренду жилья. Ежегодно сумма подъёмных будет определена по количеству прибывших молодых педагогов.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</si>
  <si>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30 лет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</si>
  <si>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</t>
  </si>
  <si>
    <t>Еегодно будут созданы и работать 12 РМО, 1 районный методический совет.  Проведено не менее 2-х семинаров с привлечением сотрудников ИПК</t>
  </si>
  <si>
    <t>Ежегодно учащиеся из 11 общеобразовательных учреждений и 6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</si>
  <si>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Доля базовых образовательных учреждений (обеспечивающих совместное обучение инвалидов и лиц, не имеющих нарушений)  в общем количестве образовательных учреждений, реализующих программы общего образования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</si>
  <si>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</si>
  <si>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</si>
  <si>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</si>
  <si>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</si>
  <si>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</si>
  <si>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</si>
  <si>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</si>
  <si>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</si>
  <si>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</si>
  <si>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</si>
  <si>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</si>
  <si>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</si>
  <si>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</si>
  <si>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</si>
  <si>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</si>
  <si>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</si>
  <si>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</si>
  <si>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</si>
  <si>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</si>
  <si>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8.15</t>
  </si>
  <si>
    <t>8.16</t>
  </si>
  <si>
    <t>8.19</t>
  </si>
  <si>
    <t>8.20</t>
  </si>
  <si>
    <t>8.21</t>
  </si>
  <si>
    <t>Выплата поощрения лучшим учителям общеобразовательных учреждений</t>
  </si>
  <si>
    <t xml:space="preserve">Цели, задачи, мероприятия 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</si>
  <si>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</si>
  <si>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</si>
  <si>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</si>
  <si>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</si>
  <si>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t xml:space="preserve">Приложение № 9 к Постановлению Администрации Большеулуйского района                                                  Приложение 2
к  подпрограмме 2 «Развитие кадрового потенциала отрасли» </t>
  </si>
  <si>
    <t>Приложение № 1 к Постановлению Администрации Большеулуйского района                                                                                                                                       Приложение № 1 к Паспорту  муниципальной программы «Развитие образования Большеулуйского района»</t>
  </si>
  <si>
    <t>Приложение № 2 к Постановлению Администрации Большеулуйского района Приложение № 2
к паспорту мунииципальной программы программы 
«Развитие образования Большеулуйского района»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</si>
  <si>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</si>
  <si>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</si>
  <si>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</si>
  <si>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</si>
  <si>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</si>
  <si>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</si>
  <si>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</si>
  <si>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</si>
  <si>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</si>
  <si>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</si>
  <si>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</si>
  <si>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</si>
  <si>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</si>
  <si>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</si>
  <si>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</si>
  <si>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</si>
  <si>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</si>
  <si>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</si>
  <si>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</si>
  <si>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</si>
  <si>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8.17</t>
  </si>
  <si>
    <t>8.18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</si>
  <si>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</si>
  <si>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</si>
  <si>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</si>
  <si>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Предоставление молодым, в возрасте до 35 лет, учителям государственных и муниципальных образовательных учреждений единовременной социальной выплаты на оплату первоначального взноса при привлечении  ипотечного кредита (займа) на приобретение или строительства жилого помещения  на территории Красноярского края 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</si>
  <si>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</si>
  <si>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</si>
  <si>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</si>
  <si>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</si>
  <si>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</si>
  <si>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112</t>
  </si>
  <si>
    <t>121</t>
  </si>
  <si>
    <t>122</t>
  </si>
  <si>
    <t>149</t>
  </si>
  <si>
    <t>611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</si>
  <si>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образованиюв рамках подпрограммы "Развитие дошкольного,общего образования детей"муниципальной программы "Развитие образования Большеулуйского района"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</si>
  <si>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образования</t>
  </si>
  <si>
    <t>1.2.5</t>
  </si>
  <si>
    <t>Организация проведения военно-полевых сборов в общеобразовательных учреждениях</t>
  </si>
  <si>
    <t>0220024</t>
  </si>
  <si>
    <t>0220006</t>
  </si>
  <si>
    <t>0220025</t>
  </si>
  <si>
    <t>40 детей и подростков обеспечены путёвками в загородные оздоровительные лагеря</t>
  </si>
  <si>
    <t>Приобретение одежды, обуви для детей, находящихся на социальных койках в КГБУЗ "Большеулуйская РБ"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</si>
  <si>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</si>
  <si>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</si>
  <si>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</si>
  <si>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</si>
  <si>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</si>
  <si>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</si>
  <si>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Софинансирование ФЦПРО</t>
  </si>
  <si>
    <t>Формирование общероссийского кадрового ресурса ведущих консультантов  по вопросам развития системы образования</t>
  </si>
  <si>
    <t>Распространение на всей территории Красноярского края моделей образовательных систем, обеспечивающих современное качество общего образования</t>
  </si>
  <si>
    <t>Создание основанной на информационно-коммуникационных технологиях системы управления качеством образования, обеспечивающей доступ к образовательным услугам и сервисам</t>
  </si>
  <si>
    <t>Повышение квалификации педагогических и управленческих кадров для реализации ФГОС общего образования</t>
  </si>
  <si>
    <t>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</t>
  </si>
  <si>
    <t>Создание условий для распространения моделей государственно-общественного управления образованием</t>
  </si>
  <si>
    <t>Обучение и повышение квалификации педагогических и управленческих работников системы образования по вопросам государственно-общественного управления образованием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</si>
  <si>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</si>
  <si>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все из бюджета ИПК + ФБ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</si>
  <si>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</si>
  <si>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</si>
  <si>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</si>
  <si>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</si>
  <si>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</si>
  <si>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</si>
  <si>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</si>
  <si>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</si>
  <si>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</si>
  <si>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</si>
  <si>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</si>
  <si>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</si>
  <si>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</si>
  <si>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</si>
  <si>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</si>
  <si>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</si>
  <si>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</si>
  <si>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</si>
  <si>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</si>
  <si>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</si>
  <si>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</si>
  <si>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</si>
  <si>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</si>
  <si>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</si>
  <si>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1.4.9</t>
  </si>
  <si>
    <t>0227558</t>
  </si>
  <si>
    <t>0227561</t>
  </si>
  <si>
    <t>0227557</t>
  </si>
  <si>
    <t>0220021</t>
  </si>
  <si>
    <t>0227789</t>
  </si>
  <si>
    <t>Предоставление, доставка и пересылка  мер социальной поддержки родителям (законным представителям –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посредством предоставления ежемесячных компенсационных выплат (в соответствии с проектом государственной программы «Развитие образования Красноярского края на 2014-2016 годы»)</t>
  </si>
  <si>
    <t xml:space="preserve">Удельный вес семей с детьми, получающих меры социальной поддержки, в общей численности семей с детьми, имеющих на них право
</t>
  </si>
  <si>
    <t>оо</t>
  </si>
  <si>
    <t>адм</t>
  </si>
  <si>
    <t>соц</t>
  </si>
  <si>
    <t>3.2.3</t>
  </si>
  <si>
    <t>0247586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</si>
  <si>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</si>
  <si>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</t>
  </si>
  <si>
    <t xml:space="preserve"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</si>
  <si>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>831</t>
  </si>
  <si>
    <t>0221022</t>
  </si>
  <si>
    <t>0220026</t>
  </si>
  <si>
    <t>0225059</t>
  </si>
  <si>
    <t>0220027</t>
  </si>
  <si>
    <t>администрация Большеулуйского района</t>
  </si>
  <si>
    <t>0227746</t>
  </si>
  <si>
    <t>323</t>
  </si>
  <si>
    <t>0220028</t>
  </si>
  <si>
    <t>1.1.10.</t>
  </si>
  <si>
    <t>1.2.1</t>
  </si>
  <si>
    <t>1.2.6</t>
  </si>
  <si>
    <t>324</t>
  </si>
  <si>
    <t>ф</t>
  </si>
  <si>
    <t>2017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</si>
  <si>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учреждений, которым необходимам данная помощь </t>
  </si>
  <si>
    <t>25 младших воспитателей получат краевые выплаты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</si>
  <si>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</t>
  </si>
  <si>
    <t>4/115</t>
  </si>
  <si>
    <t>3/50</t>
  </si>
  <si>
    <t>Ежегодно оказана материальная помощь   50 матерям при рождении ребенка</t>
  </si>
  <si>
    <t xml:space="preserve">Число детей в возрасте от 1,5 до 3 лет, которым не предоставлено место в дошкольной образовательной организации родители ( опекуны, приемные родители) которых имеют право на получение ежемесячной денежной выплаты и ежемесячной компенсации                                                                                                                в 2014г. - 150 человек                                                                                                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</si>
  <si>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</si>
  <si>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</si>
  <si>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</t>
  </si>
  <si>
    <t>Оснащение рабочего места для трудоустройства инвалида</t>
  </si>
  <si>
    <t>Министерство образования и науки Красноярского края</t>
  </si>
  <si>
    <t>07 01</t>
  </si>
  <si>
    <t>075</t>
  </si>
  <si>
    <t>10 03</t>
  </si>
  <si>
    <t>07 02</t>
  </si>
  <si>
    <t>07 05</t>
  </si>
  <si>
    <t>244</t>
  </si>
  <si>
    <t>07 07</t>
  </si>
  <si>
    <t>111</t>
  </si>
  <si>
    <t>07 09</t>
  </si>
  <si>
    <t>612</t>
  </si>
  <si>
    <t>Ожидаемый результат от реализации подпрограммного мероприятия 
(в натуральном выражении)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</si>
  <si>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</si>
  <si>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Цель: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</si>
  <si>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</si>
  <si>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</si>
  <si>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</si>
  <si>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</si>
  <si>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</si>
  <si>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</si>
  <si>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</si>
  <si>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</si>
  <si>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>Расходы на введение дополнительных мест в системе дошкольного образования детей</t>
  </si>
  <si>
    <t>0220001</t>
  </si>
  <si>
    <t>0220002</t>
  </si>
  <si>
    <t>0221021</t>
  </si>
  <si>
    <t>0227588</t>
  </si>
  <si>
    <t xml:space="preserve">Обеспечение функционирования муниципальных дошкольных образовательных учреждений </t>
  </si>
  <si>
    <t xml:space="preserve">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</si>
  <si>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</si>
  <si>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</si>
  <si>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</si>
  <si>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0227554</t>
  </si>
  <si>
    <t>0220005</t>
  </si>
  <si>
    <t>0227564</t>
  </si>
  <si>
    <t>Обеспечение деятельности (оказание услуг) муниципальных общеобразовательных учреждений</t>
  </si>
  <si>
    <t xml:space="preserve"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</si>
  <si>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</si>
  <si>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0227566</t>
  </si>
  <si>
    <t>0220007</t>
  </si>
  <si>
    <t>0220008</t>
  </si>
  <si>
    <t>0220014</t>
  </si>
  <si>
    <t>321</t>
  </si>
  <si>
    <t>0220013</t>
  </si>
  <si>
    <t>0220015</t>
  </si>
  <si>
    <t>0220016</t>
  </si>
  <si>
    <t>0220017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</si>
  <si>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</si>
  <si>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</si>
  <si>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0220019</t>
  </si>
  <si>
    <t>0227582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</si>
  <si>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</si>
  <si>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</si>
  <si>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0220020</t>
  </si>
  <si>
    <t>0227583</t>
  </si>
  <si>
    <t>0230001</t>
  </si>
  <si>
    <t>0230002</t>
  </si>
  <si>
    <t>0230003</t>
  </si>
  <si>
    <t>0240001</t>
  </si>
  <si>
    <t>0240002</t>
  </si>
  <si>
    <t>0240003</t>
  </si>
  <si>
    <t>0240004</t>
  </si>
  <si>
    <t>0240005</t>
  </si>
  <si>
    <t>0240007</t>
  </si>
  <si>
    <t>0240008</t>
  </si>
  <si>
    <t>0240009</t>
  </si>
  <si>
    <t>0240006</t>
  </si>
  <si>
    <t>0247552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</si>
  <si>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</si>
  <si>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0250099</t>
  </si>
  <si>
    <t>0250098</t>
  </si>
  <si>
    <t>852</t>
  </si>
  <si>
    <t>4.2.2.</t>
  </si>
  <si>
    <t>4.2.3</t>
  </si>
  <si>
    <t>0251021</t>
  </si>
  <si>
    <t>211</t>
  </si>
  <si>
    <t>0250001</t>
  </si>
  <si>
    <t>м</t>
  </si>
  <si>
    <t>к</t>
  </si>
  <si>
    <t xml:space="preserve">        внебюджетные источники</t>
  </si>
  <si>
    <t xml:space="preserve">      внебюджетные источники</t>
  </si>
  <si>
    <t>0220003</t>
  </si>
  <si>
    <t>0220004</t>
  </si>
  <si>
    <t>0220009</t>
  </si>
  <si>
    <t>0220010</t>
  </si>
  <si>
    <t>0220011</t>
  </si>
  <si>
    <t>0220012</t>
  </si>
  <si>
    <t>0245082</t>
  </si>
  <si>
    <t>412</t>
  </si>
  <si>
    <t>10 04</t>
  </si>
  <si>
    <t>3.2.2</t>
  </si>
  <si>
    <t>0247587</t>
  </si>
  <si>
    <t>Итого по задаче 5</t>
  </si>
  <si>
    <t>Приобретено одно жилое помещение для одного человека из числа детей-сирот или детей оставшихся без попечения родителей или лиц к ним приравненных</t>
  </si>
  <si>
    <t>Задача 5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</si>
  <si>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3.5.1</t>
  </si>
  <si>
    <t>1.1.2.</t>
  </si>
  <si>
    <t>1.1.3.</t>
  </si>
  <si>
    <t>1.1.4.</t>
  </si>
  <si>
    <t>1.1.6.</t>
  </si>
  <si>
    <t>1.1.7.</t>
  </si>
  <si>
    <t>1.1.8.</t>
  </si>
  <si>
    <t>1.2.4</t>
  </si>
  <si>
    <t>Статус (муниципальная программа, подпрограмма)</t>
  </si>
  <si>
    <t>0234281</t>
  </si>
  <si>
    <t>0234282</t>
  </si>
  <si>
    <t>0234283</t>
  </si>
  <si>
    <t>0234284</t>
  </si>
  <si>
    <t>0234285</t>
  </si>
  <si>
    <t>0234286</t>
  </si>
  <si>
    <t>0234287</t>
  </si>
  <si>
    <t>По годам до ввода объекта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</si>
  <si>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</si>
  <si>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</si>
  <si>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</si>
  <si>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</si>
  <si>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</si>
  <si>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</si>
  <si>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</si>
  <si>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Значение показателя объема услуги (работы)</t>
  </si>
  <si>
    <t>Наименование услуги, показателя объема услуги (работы)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</si>
  <si>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</si>
  <si>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</si>
  <si>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</si>
  <si>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</si>
  <si>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</si>
  <si>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3.3.2</t>
  </si>
  <si>
    <t>«Обеспечение реализации государственной программы и прочие мероприятия»</t>
  </si>
  <si>
    <t>4.2.1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</si>
  <si>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</si>
  <si>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</si>
  <si>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3. Обеспечить поддержку лучших педагогических работников</t>
  </si>
  <si>
    <t>360</t>
  </si>
  <si>
    <t>0235088</t>
  </si>
  <si>
    <t>0230458</t>
  </si>
  <si>
    <t>Ожидаются федеральные средства</t>
  </si>
  <si>
    <t>19,08 поменяли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</si>
  <si>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</si>
  <si>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доставка в одной строке</t>
  </si>
  <si>
    <t>доставка вошла в выплаты</t>
  </si>
  <si>
    <t xml:space="preserve">Обеспечить безопасный, качественный отдых и оздоровление детей в летний период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</si>
  <si>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</si>
  <si>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</si>
  <si>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</si>
  <si>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</si>
  <si>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>113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</si>
  <si>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</si>
  <si>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>Ежегодно не менее 120 детей будут принимать участие в меропиятиях научно-исследовательской и проектной деятельности</t>
  </si>
  <si>
    <t xml:space="preserve">Отдел образования Администрации Большеулуйского района 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</si>
  <si>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страховых взносов за участников спортивных и культурно-массовых мероприятий</t>
  </si>
  <si>
    <t xml:space="preserve"> Возмещение  части родительской платы за   путевки в загородные оздоровительные лагеря для детей, одаренных в области культуры и искуства</t>
  </si>
  <si>
    <t>Возмещена  часть родительской платы за 11 путевок в загородные оздоровительные лагеря  для детей одаренных в области культуры и искуства</t>
  </si>
  <si>
    <t>будет оказана консультативная психолого-педагогическая помощь педагогам и учащимся из 12 школ и 6 ДОУ в соответствии с запросами</t>
  </si>
  <si>
    <t>Реализация образовательных программ оздоровления, отдыха и занятости детей и подростков с охватом не менее 697 детей и подростков ежегодно</t>
  </si>
  <si>
    <t>Обеспечен подвоз детей и подростков к местам отдыха, оздоровления, занятости, местам проведения культурно-массовых мероприятий (не менее 40 поездок ежегодно, не менее 697 детей задействовано в поездках)</t>
  </si>
  <si>
    <t>Обеспечена деятельность однодневных и многодневных туристических походов и сплавов с охватом не менее 125 детей ежегодно</t>
  </si>
  <si>
    <t>Организация деятельности районного туристического передвижного палаточного лагеря в пределах Большеулуйского района или за его пределами</t>
  </si>
  <si>
    <t xml:space="preserve">Задача № 4. Обеспечить безопасный, качественный отдых и оздоровление детей в летний период </t>
  </si>
  <si>
    <t>Реализация  программ  специальных (коррекционных) образовательных учреждений VIII вида (для умственно отсталых обучающихся)</t>
  </si>
  <si>
    <t>Реализация основных общеобразовательных программ дошкольного образования</t>
  </si>
  <si>
    <t>Показатель объема: число воспитанников</t>
  </si>
  <si>
    <t>Расходы  на оказание (выполнение) муниципальной услуги (работы), тыс. руб.</t>
  </si>
  <si>
    <t>344</t>
  </si>
  <si>
    <t>1.1.1</t>
  </si>
  <si>
    <t>1.1.5.</t>
  </si>
  <si>
    <t>1.2.2</t>
  </si>
  <si>
    <t>1.2.3</t>
  </si>
  <si>
    <t>1.3.1.</t>
  </si>
  <si>
    <t>1.3.2</t>
  </si>
  <si>
    <t>1.3.3</t>
  </si>
  <si>
    <t>1.3.4</t>
  </si>
  <si>
    <t>1.3.5</t>
  </si>
  <si>
    <t>1.3.6</t>
  </si>
  <si>
    <t>1.4.1.</t>
  </si>
  <si>
    <t>1.4.2.</t>
  </si>
  <si>
    <t>1.4.3.</t>
  </si>
  <si>
    <t>1.4.4</t>
  </si>
  <si>
    <t>1.4.5</t>
  </si>
  <si>
    <t>1.4.6</t>
  </si>
  <si>
    <t>1.4.7</t>
  </si>
  <si>
    <t>1.4.8</t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</si>
  <si>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специальное (коррекционное) образование (чел.)</t>
    </r>
  </si>
  <si>
    <r>
      <rPr>
        <i/>
        <sz val="12"/>
        <rFont val="Times New Roman"/>
        <family val="1"/>
      </rPr>
      <t xml:space="preserve">Показатель объема услуги: </t>
    </r>
    <r>
      <rPr>
        <sz val="12"/>
        <rFont val="Times New Roman"/>
        <family val="1"/>
      </rPr>
      <t>количество человек, которым предоставлено начальное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</si>
  <si>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основное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</si>
  <si>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среднее общее образование</t>
    </r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</si>
  <si>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среднее (полное) общее образование, заочная форма обучения, срок реализации 3 года</t>
    </r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</si>
  <si>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
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</si>
  <si>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вдетском доме</t>
  </si>
  <si>
    <t>Количество детей-сирот, детей, оставшихся без попечения родителей, которым оказана помощь при оплате услуг БТИ за справки, акты, заключения</t>
  </si>
  <si>
    <t>ведомственная отчетность</t>
  </si>
  <si>
    <t>Количество проведенных мероприятий и участников мероприятий для детей-сирот, детей, оставшихся без попечения родителей</t>
  </si>
  <si>
    <t>шт/чел</t>
  </si>
  <si>
    <t>Количество несовершеннолетних детей, которым оказана материальная помощь в рамках проведения акции "Помоги пойти учиться"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</si>
  <si>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</si>
  <si>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</si>
  <si>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</si>
  <si>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</si>
  <si>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основной общеобразовательной программы среднего общего образования (заочная форма обучения срок реализации 3 года)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</si>
  <si>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</si>
  <si>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Медицинское сопровождение детей в загородные лагеря, проведения спортивных соревнований</t>
  </si>
  <si>
    <t>Обеспечено медицинское сопровождение в период подвоза детей и подростков к местам отдыха и оздоровления (не менее 40 чел. в загородные оздоровительные лагеря), организовано медицинское сопровождение  в год не менее 10 спортивных соревнований среди школьников</t>
  </si>
  <si>
    <t>Созданы безопасные и комфортные условия в 1 общеобразовательном учреждении (устранены предписания надзорных органов</t>
  </si>
  <si>
    <t>Оснащено 1 рабочее место для трудоустройства инвалида</t>
  </si>
  <si>
    <r>
      <t>Введен в действие 1 ДОУ в с.Боль</t>
    </r>
    <r>
      <rPr>
        <sz val="11"/>
        <rFont val="Times New Roman"/>
        <family val="1"/>
      </rPr>
      <t xml:space="preserve">шой Улуй на 95 мест.                                                                         Количество  дополнительных мест для  детей  в возрасте  от 3до  7лет  в  дошкольных образовательных  учреждениях и  группах полного дня  при общеобразовательных  учреждениях
2014г.-30
2015г.- 120
</t>
    </r>
  </si>
  <si>
    <t>1,82</t>
  </si>
  <si>
    <t>1.1.2</t>
  </si>
  <si>
    <t>1.1.3</t>
  </si>
  <si>
    <t>1.1.4</t>
  </si>
  <si>
    <t>1.2.7</t>
  </si>
  <si>
    <t>1.2.8</t>
  </si>
  <si>
    <t>1.2.9</t>
  </si>
  <si>
    <t>1.2.10</t>
  </si>
  <si>
    <t>1.4.1</t>
  </si>
  <si>
    <t>1.3.1</t>
  </si>
  <si>
    <t>4.1.1.</t>
  </si>
  <si>
    <t>4.1.2.</t>
  </si>
  <si>
    <t>4.1.3.</t>
  </si>
  <si>
    <t>4.1.4.</t>
  </si>
  <si>
    <t>4.1.5.</t>
  </si>
  <si>
    <t>1.2.11</t>
  </si>
  <si>
    <t>3.2.</t>
  </si>
  <si>
    <t>3.1.3.</t>
  </si>
  <si>
    <t>3.1.4.</t>
  </si>
  <si>
    <t>3.1.5.</t>
  </si>
  <si>
    <t>3.1.6.</t>
  </si>
  <si>
    <t>0227777</t>
  </si>
  <si>
    <t>Кредиторская задолженность за 2014 год</t>
  </si>
  <si>
    <t>1.3.7</t>
  </si>
  <si>
    <t xml:space="preserve">Софинансирование расходов на оплату 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родительской платы </t>
  </si>
  <si>
    <t>0220029</t>
  </si>
  <si>
    <t>0257777</t>
  </si>
  <si>
    <t>0227560</t>
  </si>
  <si>
    <t>1.1.9.</t>
  </si>
  <si>
    <t>1.1.11.</t>
  </si>
  <si>
    <t xml:space="preserve"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</si>
  <si>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1.1.12.</t>
  </si>
  <si>
    <t xml:space="preserve">Софинансирование 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</si>
  <si>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244, 612</t>
  </si>
  <si>
    <t>2018</t>
  </si>
  <si>
    <t xml:space="preserve">Приложение № 3
к паспорту муниципальной программы 
«Развитие образования 
Большеулуйского района» </t>
  </si>
  <si>
    <t>2018год</t>
  </si>
  <si>
    <t>В 2014 году получат горячие завтраки обучающиеся с 7 до 11 лет - 213 чел, с 11 до 18 лет - 174 чел., горячие обеды обучающиеся с 7 до 11 лет - 40 чел., с 11 до 18 лет - 31 чел. В 2015 году получат горяиче завтраки обучающиеся с 7 до 11 лет - 229 чел., с 11 до 18 лет - 193 чел., горяие обеды обучающиеся с 7 до 11 лет - 49 чел., с 11 до 18 лет - 31 чел. В 2016 году получат горячие завтраки обучающиеся с 7 до 11 лет - 252 чел., с 11 до 18 лет - 206 чел., горячие обеды обучающиеся с 7 до 11 лет - 40 чел., с 11 до 18 лет - 37 чел. В 2017 году получат горячие завтраки обучающиеся с 7 до 11 лет - 252 чел., с 11 до 18 лет - 206 чел., горячие обеды обучающиеся с 7 до 11 лет - 40 чел., с 11 до 18 лет - 37 чел. В 2018 году получат горячие завтраки обучающиеся с 7 до 11 лет - 252 чел., с 11 до 18 лет - 206 чел., горячие обеды обучающиеся с 7 до 11 лет - 40 чел., с 11 до 18 лет - 37 чел</t>
  </si>
  <si>
    <t>Приложение № 10                                                                             к Постановлению Администрации Большеулуйского района                                                      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</si>
  <si>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Приложение 8                                                                                    к Постановлению Администрации Большеулуйского района                                                                                                                                                      Приложение 1 к подпрограмме 2 «Развитие кадрового потенциала отрасли»</t>
  </si>
  <si>
    <t>Приложение № 6                                                                                                    к Постановлению Администрации Большеулуйского района                                                                                                                                         Приложение № 1
к подпрограмме 1 «Развитие дошкольного и общего образования детей»</t>
  </si>
  <si>
    <t>Приложение № 5                                                                                                             к Постановлению Администрации Большеулуйского района                                                    Приложение № 3
к муниципальной программе 
«Развитие образования Большеулуйского района»</t>
  </si>
  <si>
    <t xml:space="preserve">Отношение среднего балла ЕГЭ (в расчете на 1 предмет) в 10 % школах Большеулуйского района с лучшими результатами ЕГЭ к среднему баллу ЕГЭ (в расчете на 1 предмет) в 10 % школ Большеулуйского района с худшими результатами ЕГЭ
</t>
  </si>
  <si>
    <t>Количество человек, получающих услуги общего образования: 2014 год - 820 чел.; 2015 год - 806 чел.; 2016 - 853 чел., 2017 год - 866 чел.. 2018 год - 866</t>
  </si>
  <si>
    <t>Обеспечение питанием участников государственной (итоговой) аттестации выпускников (100% учащихся, участвующих в сдаче ГИА, ЕГЭ)</t>
  </si>
  <si>
    <t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2015 году - 20 чел., 2016 году - 20 чел. , 2017 году - 20 чел. 2018 - 30 чел.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</si>
  <si>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Единовременная денежная выплата молодым специалистам.</t>
  </si>
  <si>
    <t>0</t>
  </si>
  <si>
    <t xml:space="preserve"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2014г- 2чел.; 2015г-2чел.; 2016г.-2 чел., 2017 г.- 2 чел. 2018 г.-2 чел.    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2014г- 3чел.; 2015г-3чел.; 2016г.-3 чел., 2017 - 3 чел.2018 г.-3 чел.   </t>
  </si>
  <si>
    <r>
      <t xml:space="preserve">Количество  семей,  получающих  </t>
    </r>
    <r>
      <rPr>
        <sz val="11"/>
        <rFont val="Calibri"/>
        <family val="2"/>
      </rPr>
      <t xml:space="preserve">выплату  на  первого  ребенка
2014г.- 144
2015г.-210                                                                                       
2016 г.-215                                                                                                                                  2017 г - 215                                                                                                                 2018  г.  - 215
Количество  семей,  получающих  выплату  на  второго ребенка
2014г.- 118
2015г.-172
2016 г.-177                                                                                                                                                     2017 г. - 177                                                                                                                 2018 г. - 177
</t>
    </r>
  </si>
  <si>
    <t xml:space="preserve">Количество  человек, получающих  услуги  дошкольного образования
2014г.267 (ДОУ); 100 (ГКП);
2015г.- 387 (ДОУ); 83 (ГКП);
2016 г.-  387 (ДОУ); 83 (ГКП), 2017г.-  387 (ДОУ); 83 (ГКП), 2018 г. - 387 (ДОУ), 50 (ГКП)
Численность детей  в возрасте  с  3 до7 лет,  которым  предоставлена  возможность  получать  услуги  дошкольного образования
2014г.- 247 (ДОУ); 100 (ГКП);
2015г.- 368 (ДОУ); 83 (ГКП);
2016 г.-  368 (ДОУ); 83 (ГКП);.2017 г.-  368 (ДОУ); 83 (ГКП). 2018 г. - 367 (ДОУ), 50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2014г. - 160
2015 г.- 387
 2016 г.- 387,                                                                   2017 г.- 387 2018 г. -387 (ДОУ)
</t>
  </si>
  <si>
    <t xml:space="preserve">Приложение №3 к Постановлению Администрации Большеулуйского района                                                              Приложение № 1
к муниципальной программе 
«Развитие образования 
Большеулулйского района»  </t>
  </si>
  <si>
    <t>Приложение №4 к Постановлению Администрации Большеулуйского района
Приложение №2 к муниципальной программе 
«Развитие образования Большеулуйского района»</t>
  </si>
  <si>
    <t>Приложение № 7 к Постановлению Администрации Большеулуйского района                                                                                                                                         Приложение № 2
к подпрограмме 1 «Развитие дошкольного и общего образования детей»</t>
  </si>
  <si>
    <t>Приложение № 11 к Постановлению Администрации Большеулуйского района                                                     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</si>
  <si>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№ 13 к Постановлению Администрации Большеулуйского района                                                 Приложение 2 
к подпрограмме 4 «Обеспечение реализации муниципальной программы и прочие мероприятия в области образования» </t>
  </si>
  <si>
    <t xml:space="preserve">Приложение № 12                                                                                                 к Постановлению Администрации Большеулуйского района                                                 Приложение 1 
к подпрограмме 4 «Обеспечение реализации муниципальной программы и прочие мероприятия в области образования» </t>
  </si>
  <si>
    <t>Перечень целевых показателей и показателей результативности программы с расшифровкой плановых значений по годам реализации(в ред. Постановления от 26.10.2015 № 248-п)</t>
  </si>
  <si>
    <t>Значение целевых показателей на долгосрочный период(в ред. Постановления от 26.10.2015 № 248-п)</t>
  </si>
  <si>
    <t>Информация о распределении планируемых расходов по отдельным мероприятиям программ, подпрограммам муниципальной программы(в ред. Постановления от 26.10.2015 № 248-п)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</si>
  <si>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федерального, краевого и муниципального бюджетов(в ред. Постановления от 26.10.2015 № 248-п)</t>
  </si>
  <si>
    <t>Прогноз сводных показателей мунииципальных заданий (в ред. Постановления от 26.10.2015 № 248-п)</t>
  </si>
  <si>
    <t>Перечень целевых индикаторов подпрограммы(в ред. Постановления от 26.10.2015 № 248-п)</t>
  </si>
  <si>
    <t>Перечень мероприятий подпрограммы с указанием объема средств на их реализацию и ожидаемых результатов(в ред. Постановления от 26.10.2015 № 248-п)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</si>
</sst>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?"/>
    <numFmt numFmtId="202" formatCode="_-* #,##0_р_._-;\-* #,##0_р_._-;_-* &quot;-&quot;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66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6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66" fontId="4" fillId="0" borderId="0" xfId="56" applyNumberFormat="1" applyFont="1" applyFill="1" applyBorder="1" applyAlignment="1">
      <alignment horizontal="center" vertical="center" wrapText="1"/>
      <protection/>
    </xf>
    <xf numFmtId="16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66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top" wrapText="1"/>
    </xf>
    <xf numFmtId="166" fontId="5" fillId="0" borderId="0" xfId="65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/>
    </xf>
    <xf numFmtId="166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0" xfId="67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187" fontId="5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6" fontId="4" fillId="33" borderId="10" xfId="56" applyNumberFormat="1" applyFont="1" applyFill="1" applyBorder="1" applyAlignment="1">
      <alignment horizontal="center" vertical="center"/>
      <protection/>
    </xf>
    <xf numFmtId="187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87" fontId="4" fillId="0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1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/>
    </xf>
    <xf numFmtId="172" fontId="4" fillId="0" borderId="13" xfId="0" applyNumberFormat="1" applyFont="1" applyFill="1" applyBorder="1" applyAlignment="1">
      <alignment horizontal="right" vertical="center"/>
    </xf>
    <xf numFmtId="2" fontId="4" fillId="0" borderId="10" xfId="56" applyNumberFormat="1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22" xfId="53" applyNumberFormat="1" applyFont="1" applyFill="1" applyBorder="1" applyAlignment="1">
      <alignment horizontal="left" vertical="center"/>
      <protection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right"/>
    </xf>
    <xf numFmtId="0" fontId="5" fillId="0" borderId="2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53" applyFont="1" applyFill="1" applyAlignment="1">
      <alignment horizontal="left" vertical="top" wrapText="1"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27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left" vertical="top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27" xfId="53" applyFont="1" applyFill="1" applyBorder="1" applyAlignment="1">
      <alignment horizontal="left" vertical="center" wrapText="1"/>
      <protection/>
    </xf>
    <xf numFmtId="0" fontId="9" fillId="0" borderId="21" xfId="53" applyFont="1" applyFill="1" applyBorder="1" applyAlignment="1">
      <alignment horizontal="left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left" vertical="center" wrapText="1"/>
    </xf>
    <xf numFmtId="11" fontId="9" fillId="0" borderId="27" xfId="0" applyNumberFormat="1" applyFont="1" applyFill="1" applyBorder="1" applyAlignment="1">
      <alignment horizontal="left" vertical="center" wrapText="1"/>
    </xf>
    <xf numFmtId="11" fontId="9" fillId="0" borderId="21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9;&#1084;&#1077;&#1090;&#1072;%20&#1054;&#1054;%202014\&#1052;P_2015-2017_&#1054;&#1073;&#1088;&#1072;&#1079;&#1086;&#1074;&#1072;&#1085;&#1080;&#1077;%20_&#1080;&#1079;&#1084;&#1077;&#1085;&#1077;&#1085;&#1080;&#1103;_&#1085;&#1086;&#1103;&#1073;&#1088;&#1100;%20&#1084;&#108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КАИП "/>
      <sheetName val="Распределение расходов"/>
      <sheetName val="НИД"/>
      <sheetName val="Ресурсное обеспечение"/>
      <sheetName val="Гос.задания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 3"/>
      <sheetName val="Мероприятия подпрограммы 3"/>
      <sheetName val="Показатели подпрограммы 4"/>
      <sheetName val="Мероприятия подпрограммы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9" zoomScaleSheetLayoutView="89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00390625" defaultRowHeight="12.75"/>
  <cols>
    <col min="1" max="1" width="7.625" style="70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0" width="11.375" style="1" customWidth="1"/>
    <col min="11" max="11" width="10.125" style="1" customWidth="1"/>
    <col min="12" max="12" width="12.875" style="64" customWidth="1"/>
    <col min="13" max="13" width="9.125" style="63" customWidth="1"/>
    <col min="14" max="16384" width="9.125" style="1" customWidth="1"/>
  </cols>
  <sheetData>
    <row r="1" spans="1:11" ht="65.25" customHeight="1">
      <c r="A1" s="59"/>
      <c r="B1" s="30"/>
      <c r="C1" s="49"/>
      <c r="D1" s="30"/>
      <c r="E1" s="30"/>
      <c r="G1" s="249" t="s">
        <v>151</v>
      </c>
      <c r="H1" s="249"/>
      <c r="I1" s="249"/>
      <c r="J1" s="249"/>
      <c r="K1" s="249"/>
    </row>
    <row r="2" spans="1:11" ht="37.5" customHeight="1">
      <c r="A2" s="245" t="s">
        <v>541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2" ht="25.5" customHeight="1">
      <c r="A3" s="246" t="s">
        <v>131</v>
      </c>
      <c r="B3" s="247" t="s">
        <v>149</v>
      </c>
      <c r="C3" s="247" t="s">
        <v>127</v>
      </c>
      <c r="D3" s="247" t="s">
        <v>138</v>
      </c>
      <c r="E3" s="247" t="s">
        <v>179</v>
      </c>
      <c r="F3" s="235" t="s">
        <v>161</v>
      </c>
      <c r="G3" s="235" t="s">
        <v>157</v>
      </c>
      <c r="H3" s="235" t="s">
        <v>162</v>
      </c>
      <c r="I3" s="235" t="s">
        <v>163</v>
      </c>
      <c r="J3" s="235" t="s">
        <v>164</v>
      </c>
      <c r="K3" s="235" t="s">
        <v>165</v>
      </c>
      <c r="L3" s="235" t="s">
        <v>520</v>
      </c>
    </row>
    <row r="4" spans="1:12" ht="25.5" customHeight="1">
      <c r="A4" s="246"/>
      <c r="B4" s="247"/>
      <c r="C4" s="247"/>
      <c r="D4" s="247"/>
      <c r="E4" s="247"/>
      <c r="F4" s="235"/>
      <c r="G4" s="235"/>
      <c r="H4" s="235"/>
      <c r="I4" s="235"/>
      <c r="J4" s="235"/>
      <c r="K4" s="235"/>
      <c r="L4" s="235"/>
    </row>
    <row r="5" spans="1:12" ht="25.5" customHeight="1">
      <c r="A5" s="246"/>
      <c r="B5" s="247"/>
      <c r="C5" s="247"/>
      <c r="D5" s="247"/>
      <c r="E5" s="247"/>
      <c r="F5" s="235"/>
      <c r="G5" s="235"/>
      <c r="H5" s="235"/>
      <c r="I5" s="235"/>
      <c r="J5" s="235"/>
      <c r="K5" s="235"/>
      <c r="L5" s="235"/>
    </row>
    <row r="6" spans="1:12" ht="48" customHeight="1">
      <c r="A6" s="236" t="s">
        <v>55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 ht="47.25" customHeight="1">
      <c r="A7" s="36">
        <v>1</v>
      </c>
      <c r="B7" s="65" t="s">
        <v>402</v>
      </c>
      <c r="C7" s="14" t="s">
        <v>125</v>
      </c>
      <c r="D7" s="31" t="s">
        <v>228</v>
      </c>
      <c r="E7" s="61" t="s">
        <v>122</v>
      </c>
      <c r="F7" s="96"/>
      <c r="G7" s="141">
        <f>(49650+5442+282531+928+1675+13302+20611+2334)/(410700-970)*100</f>
        <v>91.88</v>
      </c>
      <c r="H7" s="141">
        <v>92</v>
      </c>
      <c r="I7" s="141">
        <v>92.1</v>
      </c>
      <c r="J7" s="141">
        <v>92.2</v>
      </c>
      <c r="K7" s="141">
        <v>92.2</v>
      </c>
      <c r="L7" s="14">
        <v>100</v>
      </c>
    </row>
    <row r="8" spans="1:12" ht="83.25" customHeight="1">
      <c r="A8" s="36" t="s">
        <v>403</v>
      </c>
      <c r="B8" s="65" t="s">
        <v>77</v>
      </c>
      <c r="C8" s="14" t="s">
        <v>125</v>
      </c>
      <c r="D8" s="31" t="s">
        <v>228</v>
      </c>
      <c r="E8" s="38" t="s">
        <v>123</v>
      </c>
      <c r="F8" s="62">
        <v>80</v>
      </c>
      <c r="G8" s="141">
        <v>71.26</v>
      </c>
      <c r="H8" s="141">
        <v>82.57</v>
      </c>
      <c r="I8" s="141">
        <v>100</v>
      </c>
      <c r="J8" s="141">
        <v>100</v>
      </c>
      <c r="K8" s="141">
        <v>100</v>
      </c>
      <c r="L8" s="141">
        <v>100</v>
      </c>
    </row>
    <row r="9" spans="1:12" ht="75" customHeight="1">
      <c r="A9" s="36" t="s">
        <v>180</v>
      </c>
      <c r="B9" s="142" t="s">
        <v>56</v>
      </c>
      <c r="C9" s="31" t="s">
        <v>125</v>
      </c>
      <c r="D9" s="31" t="s">
        <v>228</v>
      </c>
      <c r="E9" s="31" t="s">
        <v>123</v>
      </c>
      <c r="F9" s="31">
        <v>1.96</v>
      </c>
      <c r="G9" s="31">
        <v>1.86</v>
      </c>
      <c r="H9" s="31">
        <v>1.82</v>
      </c>
      <c r="I9" s="31">
        <v>5.23</v>
      </c>
      <c r="J9" s="31">
        <v>5.21</v>
      </c>
      <c r="K9" s="31">
        <v>5.21</v>
      </c>
      <c r="L9" s="31">
        <v>5.21</v>
      </c>
    </row>
    <row r="10" spans="1:12" ht="57.75" customHeight="1">
      <c r="A10" s="36" t="s">
        <v>404</v>
      </c>
      <c r="B10" s="65" t="s">
        <v>181</v>
      </c>
      <c r="C10" s="14" t="s">
        <v>125</v>
      </c>
      <c r="D10" s="31" t="s">
        <v>228</v>
      </c>
      <c r="E10" s="31" t="s">
        <v>123</v>
      </c>
      <c r="F10" s="41">
        <v>60.5</v>
      </c>
      <c r="G10" s="41">
        <v>18</v>
      </c>
      <c r="H10" s="41">
        <v>80.56</v>
      </c>
      <c r="I10" s="41">
        <v>80.56</v>
      </c>
      <c r="J10" s="41">
        <v>81.87</v>
      </c>
      <c r="K10" s="41">
        <v>81.87</v>
      </c>
      <c r="L10" s="41">
        <v>81.87</v>
      </c>
    </row>
    <row r="11" spans="1:12" ht="36" customHeight="1">
      <c r="A11" s="238" t="s">
        <v>57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1:12" ht="24" customHeight="1">
      <c r="A12" s="233" t="s">
        <v>58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24" customHeight="1" thickBot="1">
      <c r="A13" s="240" t="s">
        <v>421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2" ht="33" customHeight="1" thickBot="1">
      <c r="A14" s="36" t="s">
        <v>443</v>
      </c>
      <c r="B14" s="65" t="s">
        <v>200</v>
      </c>
      <c r="C14" s="14" t="s">
        <v>125</v>
      </c>
      <c r="D14" s="14">
        <v>0.04</v>
      </c>
      <c r="E14" s="38" t="s">
        <v>123</v>
      </c>
      <c r="F14" s="76">
        <v>546.3</v>
      </c>
      <c r="G14" s="189">
        <v>284.5</v>
      </c>
      <c r="H14" s="190">
        <v>312.6</v>
      </c>
      <c r="I14" s="191">
        <v>449.4</v>
      </c>
      <c r="J14" s="219">
        <v>485.6</v>
      </c>
      <c r="K14" s="201">
        <v>485.6</v>
      </c>
      <c r="L14" s="219">
        <v>485.6</v>
      </c>
    </row>
    <row r="15" spans="1:12" ht="94.5">
      <c r="A15" s="83" t="s">
        <v>485</v>
      </c>
      <c r="B15" s="65" t="s">
        <v>59</v>
      </c>
      <c r="C15" s="14" t="s">
        <v>125</v>
      </c>
      <c r="D15" s="14">
        <v>0.04</v>
      </c>
      <c r="E15" s="38" t="s">
        <v>123</v>
      </c>
      <c r="F15" s="14" t="s">
        <v>121</v>
      </c>
      <c r="G15" s="14">
        <v>0</v>
      </c>
      <c r="H15" s="14">
        <v>60</v>
      </c>
      <c r="I15" s="14">
        <v>100</v>
      </c>
      <c r="J15" s="14">
        <v>100</v>
      </c>
      <c r="K15" s="223">
        <v>100</v>
      </c>
      <c r="L15" s="220">
        <v>100</v>
      </c>
    </row>
    <row r="16" spans="1:12" ht="99.75" customHeight="1">
      <c r="A16" s="83" t="s">
        <v>486</v>
      </c>
      <c r="B16" s="65" t="s">
        <v>202</v>
      </c>
      <c r="C16" s="14" t="s">
        <v>125</v>
      </c>
      <c r="D16" s="14">
        <v>0.04</v>
      </c>
      <c r="E16" s="38" t="s">
        <v>123</v>
      </c>
      <c r="F16" s="14" t="s">
        <v>121</v>
      </c>
      <c r="G16" s="14">
        <v>0</v>
      </c>
      <c r="H16" s="14">
        <v>0</v>
      </c>
      <c r="I16" s="14">
        <v>0</v>
      </c>
      <c r="J16" s="14">
        <v>0</v>
      </c>
      <c r="K16" s="220">
        <v>0</v>
      </c>
      <c r="L16" s="220">
        <v>0</v>
      </c>
    </row>
    <row r="17" spans="1:12" ht="98.25" customHeight="1">
      <c r="A17" s="83" t="s">
        <v>487</v>
      </c>
      <c r="B17" s="65" t="s">
        <v>60</v>
      </c>
      <c r="C17" s="14" t="s">
        <v>125</v>
      </c>
      <c r="D17" s="14">
        <v>0.04</v>
      </c>
      <c r="E17" s="38" t="s">
        <v>123</v>
      </c>
      <c r="F17" s="14" t="s">
        <v>121</v>
      </c>
      <c r="G17" s="14">
        <v>0</v>
      </c>
      <c r="H17" s="14">
        <v>33</v>
      </c>
      <c r="I17" s="14">
        <v>100</v>
      </c>
      <c r="J17" s="14">
        <v>100</v>
      </c>
      <c r="K17" s="220">
        <v>100</v>
      </c>
      <c r="L17" s="220">
        <v>100</v>
      </c>
    </row>
    <row r="18" spans="1:12" ht="27" customHeight="1">
      <c r="A18" s="242" t="s">
        <v>61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1:12" ht="82.5" customHeight="1">
      <c r="A19" s="36" t="s">
        <v>296</v>
      </c>
      <c r="B19" s="65" t="s">
        <v>63</v>
      </c>
      <c r="C19" s="31" t="s">
        <v>125</v>
      </c>
      <c r="D19" s="14">
        <v>0.04</v>
      </c>
      <c r="E19" s="38" t="s">
        <v>122</v>
      </c>
      <c r="F19" s="11">
        <v>15.6</v>
      </c>
      <c r="G19" s="11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</row>
    <row r="20" spans="1:12" ht="73.5" customHeight="1">
      <c r="A20" s="36" t="s">
        <v>297</v>
      </c>
      <c r="B20" s="65" t="s">
        <v>183</v>
      </c>
      <c r="C20" s="31" t="s">
        <v>125</v>
      </c>
      <c r="D20" s="14">
        <v>0.04</v>
      </c>
      <c r="E20" s="61" t="s">
        <v>122</v>
      </c>
      <c r="F20" s="11">
        <v>83.66</v>
      </c>
      <c r="G20" s="39">
        <v>100</v>
      </c>
      <c r="H20" s="39">
        <v>100</v>
      </c>
      <c r="I20" s="39">
        <v>100</v>
      </c>
      <c r="J20" s="39">
        <v>100</v>
      </c>
      <c r="K20" s="39">
        <v>100</v>
      </c>
      <c r="L20" s="39">
        <v>100</v>
      </c>
    </row>
    <row r="21" spans="1:12" ht="33.75" customHeight="1">
      <c r="A21" s="36" t="s">
        <v>298</v>
      </c>
      <c r="B21" s="65" t="s">
        <v>137</v>
      </c>
      <c r="C21" s="31" t="s">
        <v>125</v>
      </c>
      <c r="D21" s="14">
        <v>0.04</v>
      </c>
      <c r="E21" s="31" t="s">
        <v>123</v>
      </c>
      <c r="F21" s="39">
        <v>90</v>
      </c>
      <c r="G21" s="39">
        <v>100</v>
      </c>
      <c r="H21" s="39">
        <v>100</v>
      </c>
      <c r="I21" s="39">
        <v>100</v>
      </c>
      <c r="J21" s="39">
        <v>100</v>
      </c>
      <c r="K21" s="39">
        <v>100</v>
      </c>
      <c r="L21" s="39">
        <v>100</v>
      </c>
    </row>
    <row r="22" spans="1:13" s="67" customFormat="1" ht="69" customHeight="1">
      <c r="A22" s="36" t="s">
        <v>382</v>
      </c>
      <c r="B22" s="65" t="s">
        <v>62</v>
      </c>
      <c r="C22" s="14" t="s">
        <v>125</v>
      </c>
      <c r="D22" s="14">
        <v>0.04</v>
      </c>
      <c r="E22" s="31" t="s">
        <v>123</v>
      </c>
      <c r="F22" s="41">
        <v>2.34</v>
      </c>
      <c r="G22" s="41">
        <v>5.5</v>
      </c>
      <c r="H22" s="41">
        <v>5.4</v>
      </c>
      <c r="I22" s="41">
        <v>7.84</v>
      </c>
      <c r="J22" s="41">
        <v>1.75</v>
      </c>
      <c r="K22" s="41">
        <v>1.75</v>
      </c>
      <c r="L22" s="14">
        <v>0</v>
      </c>
      <c r="M22" s="66"/>
    </row>
    <row r="23" spans="1:12" ht="47.25">
      <c r="A23" s="36" t="s">
        <v>191</v>
      </c>
      <c r="B23" s="65" t="s">
        <v>111</v>
      </c>
      <c r="C23" s="31" t="s">
        <v>125</v>
      </c>
      <c r="D23" s="14">
        <v>0.04</v>
      </c>
      <c r="E23" s="61" t="s">
        <v>122</v>
      </c>
      <c r="F23" s="11">
        <v>9.78</v>
      </c>
      <c r="G23" s="11">
        <v>0</v>
      </c>
      <c r="H23" s="11">
        <v>0</v>
      </c>
      <c r="I23" s="11">
        <v>0</v>
      </c>
      <c r="J23" s="11">
        <v>0</v>
      </c>
      <c r="K23" s="193">
        <v>0</v>
      </c>
      <c r="L23" s="193">
        <v>0</v>
      </c>
    </row>
    <row r="24" spans="1:12" ht="78.75">
      <c r="A24" s="36" t="s">
        <v>265</v>
      </c>
      <c r="B24" s="65" t="s">
        <v>198</v>
      </c>
      <c r="C24" s="37" t="s">
        <v>125</v>
      </c>
      <c r="D24" s="14">
        <v>0.04</v>
      </c>
      <c r="E24" s="31" t="s">
        <v>123</v>
      </c>
      <c r="F24" s="37">
        <v>83</v>
      </c>
      <c r="G24" s="37">
        <v>59.3</v>
      </c>
      <c r="H24" s="37">
        <v>81.5</v>
      </c>
      <c r="I24" s="37">
        <v>92.6</v>
      </c>
      <c r="J24" s="37">
        <v>100</v>
      </c>
      <c r="K24" s="37">
        <v>100</v>
      </c>
      <c r="L24" s="37">
        <v>100</v>
      </c>
    </row>
    <row r="25" spans="1:12" ht="67.5" customHeight="1">
      <c r="A25" s="36" t="s">
        <v>488</v>
      </c>
      <c r="B25" s="65" t="s">
        <v>269</v>
      </c>
      <c r="C25" s="37" t="s">
        <v>125</v>
      </c>
      <c r="D25" s="14">
        <v>0.04</v>
      </c>
      <c r="E25" s="31" t="s">
        <v>123</v>
      </c>
      <c r="F25" s="31">
        <v>35</v>
      </c>
      <c r="G25" s="37">
        <v>59.3</v>
      </c>
      <c r="H25" s="37">
        <v>81.5</v>
      </c>
      <c r="I25" s="37">
        <v>92.6</v>
      </c>
      <c r="J25" s="37">
        <v>92.6</v>
      </c>
      <c r="K25" s="37">
        <v>95.3</v>
      </c>
      <c r="L25" s="37">
        <v>95.3</v>
      </c>
    </row>
    <row r="26" spans="1:12" ht="94.5">
      <c r="A26" s="36" t="s">
        <v>489</v>
      </c>
      <c r="B26" s="65" t="s">
        <v>203</v>
      </c>
      <c r="C26" s="37" t="s">
        <v>125</v>
      </c>
      <c r="D26" s="14">
        <v>0.04</v>
      </c>
      <c r="E26" s="31" t="s">
        <v>123</v>
      </c>
      <c r="F26" s="31">
        <v>45</v>
      </c>
      <c r="G26" s="31">
        <v>0</v>
      </c>
      <c r="H26" s="31">
        <v>0</v>
      </c>
      <c r="I26" s="31">
        <v>0</v>
      </c>
      <c r="J26" s="31">
        <v>7.1</v>
      </c>
      <c r="K26" s="31">
        <v>7.1</v>
      </c>
      <c r="L26" s="31">
        <v>7.1</v>
      </c>
    </row>
    <row r="27" spans="1:12" ht="63">
      <c r="A27" s="36" t="s">
        <v>490</v>
      </c>
      <c r="B27" s="65" t="s">
        <v>417</v>
      </c>
      <c r="C27" s="37" t="s">
        <v>125</v>
      </c>
      <c r="D27" s="14">
        <v>0.04</v>
      </c>
      <c r="E27" s="31" t="s">
        <v>123</v>
      </c>
      <c r="F27" s="31">
        <v>1</v>
      </c>
      <c r="G27" s="31">
        <v>36.4</v>
      </c>
      <c r="H27" s="31">
        <v>36.4</v>
      </c>
      <c r="I27" s="31">
        <v>72.7</v>
      </c>
      <c r="J27" s="31">
        <v>72.7</v>
      </c>
      <c r="K27" s="31">
        <v>72.7</v>
      </c>
      <c r="L27" s="31">
        <v>72.7</v>
      </c>
    </row>
    <row r="28" spans="1:12" ht="99.75" customHeight="1">
      <c r="A28" s="36" t="s">
        <v>491</v>
      </c>
      <c r="B28" s="142" t="s">
        <v>68</v>
      </c>
      <c r="C28" s="31" t="s">
        <v>125</v>
      </c>
      <c r="D28" s="14">
        <v>0.04</v>
      </c>
      <c r="E28" s="31" t="s">
        <v>123</v>
      </c>
      <c r="F28" s="144" t="s">
        <v>121</v>
      </c>
      <c r="G28" s="31" t="s">
        <v>121</v>
      </c>
      <c r="H28" s="31">
        <v>63.6</v>
      </c>
      <c r="I28" s="31">
        <v>100</v>
      </c>
      <c r="J28" s="31">
        <v>100</v>
      </c>
      <c r="K28" s="31">
        <v>100</v>
      </c>
      <c r="L28" s="31">
        <v>100</v>
      </c>
    </row>
    <row r="29" spans="1:12" ht="26.25" customHeight="1">
      <c r="A29" s="229" t="s">
        <v>422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52"/>
      <c r="L29" s="86"/>
    </row>
    <row r="30" spans="1:12" ht="53.25" customHeight="1">
      <c r="A30" s="60" t="s">
        <v>493</v>
      </c>
      <c r="B30" s="142" t="s">
        <v>201</v>
      </c>
      <c r="C30" s="14" t="s">
        <v>125</v>
      </c>
      <c r="D30" s="14">
        <v>0.04</v>
      </c>
      <c r="E30" s="38" t="s">
        <v>123</v>
      </c>
      <c r="F30" s="31">
        <v>78.4</v>
      </c>
      <c r="G30" s="31">
        <v>69.8</v>
      </c>
      <c r="H30" s="31">
        <v>70</v>
      </c>
      <c r="I30" s="31">
        <v>70.2</v>
      </c>
      <c r="J30" s="31">
        <v>70.4</v>
      </c>
      <c r="K30" s="31">
        <v>70.7</v>
      </c>
      <c r="L30" s="31">
        <v>70.8</v>
      </c>
    </row>
    <row r="31" spans="1:12" ht="31.5" customHeight="1">
      <c r="A31" s="250" t="s">
        <v>420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</row>
    <row r="32" spans="1:12" ht="36.75" customHeight="1">
      <c r="A32" s="42" t="s">
        <v>492</v>
      </c>
      <c r="B32" s="142" t="s">
        <v>146</v>
      </c>
      <c r="C32" s="31" t="s">
        <v>125</v>
      </c>
      <c r="D32" s="14">
        <v>0.04</v>
      </c>
      <c r="E32" s="38" t="s">
        <v>123</v>
      </c>
      <c r="F32" s="38">
        <v>82.9</v>
      </c>
      <c r="G32" s="38">
        <v>89.6</v>
      </c>
      <c r="H32" s="38">
        <v>89.6</v>
      </c>
      <c r="I32" s="38">
        <v>94.8</v>
      </c>
      <c r="J32" s="38">
        <v>94.8</v>
      </c>
      <c r="K32" s="38">
        <v>94.8</v>
      </c>
      <c r="L32" s="38">
        <v>94.8</v>
      </c>
    </row>
    <row r="33" spans="1:12" ht="22.5" customHeight="1">
      <c r="A33" s="225" t="s">
        <v>69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ht="23.25" customHeight="1">
      <c r="A34" s="227" t="s">
        <v>70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</row>
    <row r="35" spans="1:12" ht="51" customHeight="1">
      <c r="A35" s="36" t="s">
        <v>295</v>
      </c>
      <c r="B35" s="142" t="s">
        <v>92</v>
      </c>
      <c r="C35" s="31" t="s">
        <v>125</v>
      </c>
      <c r="D35" s="14">
        <v>0.04</v>
      </c>
      <c r="E35" s="31" t="s">
        <v>123</v>
      </c>
      <c r="F35" s="31">
        <v>15.6</v>
      </c>
      <c r="G35" s="31">
        <v>23.3</v>
      </c>
      <c r="H35" s="31">
        <v>23.3</v>
      </c>
      <c r="I35" s="31">
        <v>23.3</v>
      </c>
      <c r="J35" s="31">
        <v>23.3</v>
      </c>
      <c r="K35" s="31">
        <v>23.3</v>
      </c>
      <c r="L35" s="31">
        <v>23.3</v>
      </c>
    </row>
    <row r="36" spans="1:12" ht="39" customHeight="1">
      <c r="A36" s="229" t="s">
        <v>71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</row>
    <row r="37" spans="1:12" ht="24" customHeight="1">
      <c r="A37" s="227" t="s">
        <v>72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81.75" customHeight="1">
      <c r="A38" s="36" t="s">
        <v>299</v>
      </c>
      <c r="B38" s="65" t="s">
        <v>182</v>
      </c>
      <c r="C38" s="37" t="s">
        <v>125</v>
      </c>
      <c r="D38" s="14">
        <v>0.04</v>
      </c>
      <c r="E38" s="38" t="s">
        <v>122</v>
      </c>
      <c r="F38" s="41">
        <v>97.09</v>
      </c>
      <c r="G38" s="41">
        <v>51.6</v>
      </c>
      <c r="H38" s="41">
        <v>66.6</v>
      </c>
      <c r="I38" s="41">
        <v>50</v>
      </c>
      <c r="J38" s="41">
        <v>50</v>
      </c>
      <c r="K38" s="41">
        <v>50</v>
      </c>
      <c r="L38" s="41">
        <v>50</v>
      </c>
    </row>
    <row r="39" spans="1:12" ht="67.5" customHeight="1">
      <c r="A39" s="36" t="s">
        <v>300</v>
      </c>
      <c r="B39" s="65" t="s">
        <v>177</v>
      </c>
      <c r="C39" s="31" t="s">
        <v>136</v>
      </c>
      <c r="D39" s="14">
        <v>0.04</v>
      </c>
      <c r="E39" s="38" t="s">
        <v>123</v>
      </c>
      <c r="F39" s="145">
        <v>243</v>
      </c>
      <c r="G39" s="145">
        <v>4</v>
      </c>
      <c r="H39" s="145">
        <v>7</v>
      </c>
      <c r="I39" s="145">
        <v>4</v>
      </c>
      <c r="J39" s="145">
        <v>1</v>
      </c>
      <c r="K39" s="145">
        <v>1</v>
      </c>
      <c r="L39" s="145">
        <v>1</v>
      </c>
    </row>
    <row r="40" spans="1:12" ht="57.75" customHeight="1">
      <c r="A40" s="36" t="s">
        <v>73</v>
      </c>
      <c r="B40" s="65" t="s">
        <v>176</v>
      </c>
      <c r="C40" s="31" t="s">
        <v>136</v>
      </c>
      <c r="D40" s="14">
        <v>0.04</v>
      </c>
      <c r="E40" s="38" t="s">
        <v>123</v>
      </c>
      <c r="F40" s="145">
        <v>134</v>
      </c>
      <c r="G40" s="145">
        <v>3</v>
      </c>
      <c r="H40" s="145">
        <v>4</v>
      </c>
      <c r="I40" s="145">
        <v>4</v>
      </c>
      <c r="J40" s="145">
        <v>1</v>
      </c>
      <c r="K40" s="145">
        <v>1</v>
      </c>
      <c r="L40" s="145">
        <v>1</v>
      </c>
    </row>
    <row r="41" spans="1:12" ht="113.25" customHeight="1">
      <c r="A41" s="36" t="s">
        <v>74</v>
      </c>
      <c r="B41" s="65" t="s">
        <v>199</v>
      </c>
      <c r="C41" s="37" t="s">
        <v>125</v>
      </c>
      <c r="D41" s="14">
        <v>0.04</v>
      </c>
      <c r="E41" s="38" t="s">
        <v>122</v>
      </c>
      <c r="F41" s="14">
        <v>8.02</v>
      </c>
      <c r="G41" s="14">
        <v>1.05</v>
      </c>
      <c r="H41" s="14">
        <v>4.9</v>
      </c>
      <c r="I41" s="14">
        <v>5.1</v>
      </c>
      <c r="J41" s="14">
        <v>1.1</v>
      </c>
      <c r="K41" s="14">
        <v>1.1</v>
      </c>
      <c r="L41" s="14">
        <v>1.1</v>
      </c>
    </row>
    <row r="42" spans="1:12" ht="27.75" customHeight="1">
      <c r="A42" s="231" t="s">
        <v>76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</row>
    <row r="43" spans="1:12" ht="33" customHeight="1">
      <c r="A43" s="233" t="s">
        <v>75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</row>
    <row r="44" spans="1:12" ht="97.5" customHeight="1">
      <c r="A44" s="36" t="s">
        <v>494</v>
      </c>
      <c r="B44" s="221" t="s">
        <v>26</v>
      </c>
      <c r="C44" s="31" t="s">
        <v>294</v>
      </c>
      <c r="D44" s="31">
        <v>0.04</v>
      </c>
      <c r="E44" s="31" t="s">
        <v>40</v>
      </c>
      <c r="F44" s="96"/>
      <c r="G44" s="31">
        <v>5</v>
      </c>
      <c r="H44" s="31">
        <v>5</v>
      </c>
      <c r="I44" s="31">
        <v>5</v>
      </c>
      <c r="J44" s="31">
        <v>5</v>
      </c>
      <c r="K44" s="31">
        <v>5</v>
      </c>
      <c r="L44" s="31">
        <v>5</v>
      </c>
    </row>
    <row r="45" spans="1:12" ht="66" customHeight="1">
      <c r="A45" s="36" t="s">
        <v>495</v>
      </c>
      <c r="B45" s="146" t="s">
        <v>27</v>
      </c>
      <c r="C45" s="31" t="s">
        <v>294</v>
      </c>
      <c r="D45" s="31">
        <v>0.03</v>
      </c>
      <c r="E45" s="31" t="s">
        <v>40</v>
      </c>
      <c r="F45" s="96"/>
      <c r="G45" s="14">
        <v>5</v>
      </c>
      <c r="H45" s="14">
        <v>5</v>
      </c>
      <c r="I45" s="14">
        <v>5</v>
      </c>
      <c r="J45" s="14">
        <v>5</v>
      </c>
      <c r="K45" s="14">
        <v>5</v>
      </c>
      <c r="L45" s="31">
        <v>5</v>
      </c>
    </row>
    <row r="46" spans="1:12" ht="112.5" customHeight="1">
      <c r="A46" s="36" t="s">
        <v>496</v>
      </c>
      <c r="B46" s="146" t="s">
        <v>28</v>
      </c>
      <c r="C46" s="31" t="s">
        <v>294</v>
      </c>
      <c r="D46" s="31">
        <v>0.03</v>
      </c>
      <c r="E46" s="31" t="s">
        <v>41</v>
      </c>
      <c r="F46" s="96"/>
      <c r="G46" s="14">
        <v>5</v>
      </c>
      <c r="H46" s="14">
        <v>5</v>
      </c>
      <c r="I46" s="14">
        <v>5</v>
      </c>
      <c r="J46" s="14">
        <v>5</v>
      </c>
      <c r="K46" s="14">
        <v>5</v>
      </c>
      <c r="L46" s="31">
        <v>5</v>
      </c>
    </row>
    <row r="47" spans="1:12" ht="99.75" customHeight="1">
      <c r="A47" s="36" t="s">
        <v>497</v>
      </c>
      <c r="B47" s="82" t="s">
        <v>42</v>
      </c>
      <c r="C47" s="31" t="s">
        <v>294</v>
      </c>
      <c r="D47" s="31">
        <v>0.03</v>
      </c>
      <c r="E47" s="31" t="s">
        <v>41</v>
      </c>
      <c r="F47" s="96"/>
      <c r="G47" s="14">
        <v>5</v>
      </c>
      <c r="H47" s="14">
        <v>5</v>
      </c>
      <c r="I47" s="14">
        <v>5</v>
      </c>
      <c r="J47" s="14">
        <v>5</v>
      </c>
      <c r="K47" s="14">
        <v>5</v>
      </c>
      <c r="L47" s="31">
        <v>5</v>
      </c>
    </row>
    <row r="48" spans="1:12" ht="66.75" customHeight="1">
      <c r="A48" s="36" t="s">
        <v>498</v>
      </c>
      <c r="B48" s="146" t="s">
        <v>29</v>
      </c>
      <c r="C48" s="31" t="s">
        <v>294</v>
      </c>
      <c r="D48" s="31">
        <v>0.03</v>
      </c>
      <c r="E48" s="31" t="s">
        <v>40</v>
      </c>
      <c r="F48" s="96"/>
      <c r="G48" s="14">
        <v>5</v>
      </c>
      <c r="H48" s="14">
        <v>5</v>
      </c>
      <c r="I48" s="14">
        <v>5</v>
      </c>
      <c r="J48" s="14">
        <v>5</v>
      </c>
      <c r="K48" s="14">
        <v>5</v>
      </c>
      <c r="L48" s="31">
        <v>5</v>
      </c>
    </row>
    <row r="49" ht="15.75">
      <c r="D49" s="103"/>
    </row>
    <row r="50" spans="1:11" ht="42" customHeight="1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</row>
    <row r="51" spans="1:11" ht="20.25" customHeight="1">
      <c r="A51" s="71"/>
      <c r="B51" s="71"/>
      <c r="C51" s="71"/>
      <c r="D51" s="71"/>
      <c r="J51" s="244"/>
      <c r="K51" s="244"/>
    </row>
  </sheetData>
  <sheetProtection/>
  <mergeCells count="29">
    <mergeCell ref="A29:K29"/>
    <mergeCell ref="F3:F5"/>
    <mergeCell ref="E3:E5"/>
    <mergeCell ref="C3:C5"/>
    <mergeCell ref="D3:D5"/>
    <mergeCell ref="G3:G5"/>
    <mergeCell ref="J3:J5"/>
    <mergeCell ref="J51:K51"/>
    <mergeCell ref="A2:K2"/>
    <mergeCell ref="A3:A5"/>
    <mergeCell ref="B3:B5"/>
    <mergeCell ref="A50:K50"/>
    <mergeCell ref="G1:K1"/>
    <mergeCell ref="K3:K5"/>
    <mergeCell ref="H3:H5"/>
    <mergeCell ref="I3:I5"/>
    <mergeCell ref="A31:L31"/>
    <mergeCell ref="L3:L5"/>
    <mergeCell ref="A6:L6"/>
    <mergeCell ref="A11:L11"/>
    <mergeCell ref="A12:L12"/>
    <mergeCell ref="A13:L13"/>
    <mergeCell ref="A18:L18"/>
    <mergeCell ref="A33:L33"/>
    <mergeCell ref="A34:L34"/>
    <mergeCell ref="A36:L36"/>
    <mergeCell ref="A37:L37"/>
    <mergeCell ref="A42:L42"/>
    <mergeCell ref="A43:L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4" r:id="rId3"/>
  <headerFooter differentFirst="1">
    <oddHeader>&amp;C&amp;P</oddHeader>
  </headerFooter>
  <rowBreaks count="7" manualBreakCount="7">
    <brk id="10" max="11" man="1"/>
    <brk id="12" max="11" man="1"/>
    <brk id="19" max="11" man="1"/>
    <brk id="23" max="11" man="1"/>
    <brk id="31" max="11" man="1"/>
    <brk id="37" max="11" man="1"/>
    <brk id="43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9"/>
  <sheetViews>
    <sheetView view="pageBreakPreview" zoomScale="89" zoomScaleSheetLayoutView="89" zoomScalePageLayoutView="0" workbookViewId="0" topLeftCell="A1">
      <selection activeCell="D3" sqref="D3:D5"/>
    </sheetView>
  </sheetViews>
  <sheetFormatPr defaultColWidth="9.00390625" defaultRowHeight="12.75"/>
  <cols>
    <col min="1" max="1" width="6.25390625" style="70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6" width="10.875" style="1" customWidth="1"/>
    <col min="7" max="7" width="4.625" style="1" hidden="1" customWidth="1"/>
    <col min="8" max="11" width="11.375" style="1" customWidth="1"/>
    <col min="12" max="12" width="9.125" style="63" customWidth="1"/>
    <col min="13" max="16384" width="9.125" style="1" customWidth="1"/>
  </cols>
  <sheetData>
    <row r="1" spans="1:12" ht="72" customHeight="1">
      <c r="A1" s="59"/>
      <c r="B1" s="30"/>
      <c r="C1" s="49"/>
      <c r="D1" s="30"/>
      <c r="F1" s="249" t="s">
        <v>523</v>
      </c>
      <c r="G1" s="249"/>
      <c r="H1" s="249"/>
      <c r="I1" s="249"/>
      <c r="J1" s="249"/>
      <c r="K1" s="249"/>
      <c r="L1" s="249"/>
    </row>
    <row r="2" spans="1:11" ht="37.5" customHeight="1">
      <c r="A2" s="245" t="s">
        <v>546</v>
      </c>
      <c r="B2" s="245"/>
      <c r="C2" s="245"/>
      <c r="D2" s="245"/>
      <c r="E2" s="245"/>
      <c r="F2" s="245"/>
      <c r="G2" s="245"/>
      <c r="H2" s="245"/>
      <c r="I2" s="245"/>
      <c r="J2" s="73"/>
      <c r="K2" s="73"/>
    </row>
    <row r="3" spans="1:12" ht="25.5" customHeight="1">
      <c r="A3" s="246" t="s">
        <v>131</v>
      </c>
      <c r="B3" s="247" t="s">
        <v>401</v>
      </c>
      <c r="C3" s="247" t="s">
        <v>127</v>
      </c>
      <c r="D3" s="247" t="s">
        <v>179</v>
      </c>
      <c r="E3" s="235" t="s">
        <v>161</v>
      </c>
      <c r="F3" s="363" t="s">
        <v>157</v>
      </c>
      <c r="G3" s="364"/>
      <c r="H3" s="235" t="s">
        <v>162</v>
      </c>
      <c r="I3" s="235" t="s">
        <v>163</v>
      </c>
      <c r="J3" s="235" t="s">
        <v>164</v>
      </c>
      <c r="K3" s="235" t="s">
        <v>165</v>
      </c>
      <c r="L3" s="235" t="s">
        <v>166</v>
      </c>
    </row>
    <row r="4" spans="1:12" ht="25.5" customHeight="1">
      <c r="A4" s="246"/>
      <c r="B4" s="247"/>
      <c r="C4" s="247"/>
      <c r="D4" s="247"/>
      <c r="E4" s="235"/>
      <c r="F4" s="365"/>
      <c r="G4" s="366"/>
      <c r="H4" s="235"/>
      <c r="I4" s="235"/>
      <c r="J4" s="235"/>
      <c r="K4" s="235"/>
      <c r="L4" s="235"/>
    </row>
    <row r="5" spans="1:12" ht="25.5" customHeight="1">
      <c r="A5" s="246"/>
      <c r="B5" s="247"/>
      <c r="C5" s="247"/>
      <c r="D5" s="247"/>
      <c r="E5" s="235"/>
      <c r="F5" s="367"/>
      <c r="G5" s="368"/>
      <c r="H5" s="235"/>
      <c r="I5" s="235"/>
      <c r="J5" s="235"/>
      <c r="K5" s="235"/>
      <c r="L5" s="235"/>
    </row>
    <row r="6" spans="1:12" ht="27" customHeight="1">
      <c r="A6" s="360" t="s">
        <v>293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53.25" customHeight="1">
      <c r="A7" s="42" t="s">
        <v>295</v>
      </c>
      <c r="B7" s="142" t="s">
        <v>92</v>
      </c>
      <c r="C7" s="31" t="s">
        <v>125</v>
      </c>
      <c r="D7" s="31" t="s">
        <v>123</v>
      </c>
      <c r="E7" s="31">
        <v>15.6</v>
      </c>
      <c r="F7" s="360">
        <v>23.3</v>
      </c>
      <c r="G7" s="362"/>
      <c r="H7" s="31">
        <v>23.3</v>
      </c>
      <c r="I7" s="31">
        <v>23.3</v>
      </c>
      <c r="J7" s="31">
        <v>23.3</v>
      </c>
      <c r="K7" s="31">
        <v>23.3</v>
      </c>
      <c r="L7" s="31">
        <v>23.3</v>
      </c>
    </row>
    <row r="8" spans="1:12" s="67" customFormat="1" ht="23.25" customHeight="1">
      <c r="A8" s="70"/>
      <c r="L8" s="66"/>
    </row>
    <row r="9" spans="1:11" ht="21.75" customHeight="1">
      <c r="A9" s="71"/>
      <c r="B9" s="71"/>
      <c r="C9" s="71"/>
      <c r="I9" s="244"/>
      <c r="J9" s="244"/>
      <c r="K9" s="64"/>
    </row>
  </sheetData>
  <sheetProtection/>
  <mergeCells count="16">
    <mergeCell ref="F7:G7"/>
    <mergeCell ref="I9:J9"/>
    <mergeCell ref="H3:H5"/>
    <mergeCell ref="I3:I5"/>
    <mergeCell ref="J3:J5"/>
    <mergeCell ref="D3:D5"/>
    <mergeCell ref="E3:E5"/>
    <mergeCell ref="F3:G5"/>
    <mergeCell ref="L3:L5"/>
    <mergeCell ref="A6:L6"/>
    <mergeCell ref="F1:L1"/>
    <mergeCell ref="K3:K5"/>
    <mergeCell ref="A2:I2"/>
    <mergeCell ref="A3:A5"/>
    <mergeCell ref="B3:B5"/>
    <mergeCell ref="C3:C5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67"/>
  <sheetViews>
    <sheetView view="pageBreakPreview" zoomScale="65" zoomScaleNormal="59" zoomScaleSheetLayoutView="65" zoomScalePageLayoutView="0" workbookViewId="0" topLeftCell="A1">
      <pane ySplit="4" topLeftCell="A5" activePane="bottomLeft" state="frozen"/>
      <selection pane="topLeft" activeCell="A1" sqref="A1"/>
      <selection pane="bottomLeft" activeCell="A6" sqref="A6:N6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3" width="18.75390625" style="1" customWidth="1"/>
    <col min="14" max="14" width="39.875" style="1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94.5" customHeight="1">
      <c r="A1" s="2"/>
      <c r="B1" s="5"/>
      <c r="C1" s="4"/>
      <c r="D1" s="4"/>
      <c r="E1" s="4"/>
      <c r="F1" s="4"/>
      <c r="G1" s="4"/>
      <c r="H1" s="376"/>
      <c r="I1" s="376"/>
      <c r="M1" s="375" t="s">
        <v>150</v>
      </c>
      <c r="N1" s="375"/>
    </row>
    <row r="2" spans="1:14" s="3" customFormat="1" ht="41.25" customHeight="1">
      <c r="A2" s="339" t="s">
        <v>547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3" customFormat="1" ht="32.25" customHeight="1">
      <c r="A3" s="235" t="s">
        <v>131</v>
      </c>
      <c r="B3" s="235" t="s">
        <v>145</v>
      </c>
      <c r="C3" s="235" t="s">
        <v>221</v>
      </c>
      <c r="D3" s="235" t="s">
        <v>220</v>
      </c>
      <c r="E3" s="235"/>
      <c r="F3" s="235"/>
      <c r="G3" s="235"/>
      <c r="H3" s="235" t="s">
        <v>225</v>
      </c>
      <c r="I3" s="235"/>
      <c r="J3" s="235"/>
      <c r="K3" s="235"/>
      <c r="L3" s="235"/>
      <c r="M3" s="235"/>
      <c r="N3" s="235" t="s">
        <v>231</v>
      </c>
    </row>
    <row r="4" spans="1:14" s="3" customFormat="1" ht="37.5" customHeight="1">
      <c r="A4" s="235"/>
      <c r="B4" s="235"/>
      <c r="C4" s="235"/>
      <c r="D4" s="11" t="s">
        <v>221</v>
      </c>
      <c r="E4" s="11" t="s">
        <v>222</v>
      </c>
      <c r="F4" s="11" t="s">
        <v>223</v>
      </c>
      <c r="G4" s="11" t="s">
        <v>224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226</v>
      </c>
      <c r="N4" s="235"/>
    </row>
    <row r="5" spans="1:14" ht="27" customHeight="1">
      <c r="A5" s="281" t="s">
        <v>293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42.75" customHeight="1">
      <c r="A6" s="372" t="s">
        <v>115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5" ht="37.5" customHeight="1" hidden="1">
      <c r="A7" s="88"/>
      <c r="B7" s="117"/>
      <c r="C7" s="95"/>
      <c r="D7" s="115"/>
      <c r="E7" s="115"/>
      <c r="F7" s="88"/>
      <c r="G7" s="88"/>
      <c r="H7" s="47"/>
      <c r="I7" s="47"/>
      <c r="J7" s="47"/>
      <c r="K7" s="47"/>
      <c r="L7" s="47"/>
      <c r="M7" s="47"/>
      <c r="N7" s="117"/>
      <c r="O7" s="1" t="s">
        <v>418</v>
      </c>
    </row>
    <row r="8" spans="1:14" ht="72" customHeight="1" hidden="1">
      <c r="A8" s="106" t="s">
        <v>300</v>
      </c>
      <c r="B8" s="116" t="s">
        <v>178</v>
      </c>
      <c r="C8" s="11" t="s">
        <v>280</v>
      </c>
      <c r="D8" s="88" t="s">
        <v>282</v>
      </c>
      <c r="E8" s="88" t="s">
        <v>283</v>
      </c>
      <c r="F8" s="88" t="s">
        <v>414</v>
      </c>
      <c r="G8" s="88">
        <v>313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f>SUM(H8:J8)</f>
        <v>0</v>
      </c>
      <c r="N8" s="87"/>
    </row>
    <row r="9" spans="1:14" ht="92.25" customHeight="1">
      <c r="A9" s="88" t="s">
        <v>31</v>
      </c>
      <c r="B9" s="140" t="s">
        <v>530</v>
      </c>
      <c r="C9" s="11" t="s">
        <v>112</v>
      </c>
      <c r="D9" s="88" t="s">
        <v>38</v>
      </c>
      <c r="E9" s="88" t="s">
        <v>289</v>
      </c>
      <c r="F9" s="88" t="s">
        <v>335</v>
      </c>
      <c r="G9" s="88" t="s">
        <v>286</v>
      </c>
      <c r="H9" s="47">
        <v>10</v>
      </c>
      <c r="I9" s="47">
        <v>40</v>
      </c>
      <c r="J9" s="47">
        <v>60</v>
      </c>
      <c r="K9" s="47">
        <v>60</v>
      </c>
      <c r="L9" s="47">
        <v>60</v>
      </c>
      <c r="M9" s="47">
        <f>SUM(H9:L9)</f>
        <v>230</v>
      </c>
      <c r="N9" s="87" t="s">
        <v>114</v>
      </c>
    </row>
    <row r="10" spans="1:14" s="91" customFormat="1" ht="27" customHeight="1">
      <c r="A10" s="369" t="s">
        <v>128</v>
      </c>
      <c r="B10" s="369"/>
      <c r="C10" s="11"/>
      <c r="D10" s="88"/>
      <c r="E10" s="88"/>
      <c r="F10" s="11"/>
      <c r="G10" s="88"/>
      <c r="H10" s="47">
        <f>SUM(H7:H9)</f>
        <v>10</v>
      </c>
      <c r="I10" s="47">
        <f>SUM(I7:I9)</f>
        <v>40</v>
      </c>
      <c r="J10" s="47">
        <f>SUM(J7:J9)</f>
        <v>60</v>
      </c>
      <c r="K10" s="47">
        <f>SUM(K7:K9)</f>
        <v>60</v>
      </c>
      <c r="L10" s="47">
        <f>SUM(L7:L9)</f>
        <v>60</v>
      </c>
      <c r="M10" s="47">
        <f>SUM(H10:L10)</f>
        <v>230</v>
      </c>
      <c r="N10" s="90"/>
    </row>
    <row r="11" spans="1:14" ht="33" customHeight="1">
      <c r="A11" s="372" t="s">
        <v>423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</row>
    <row r="12" spans="1:14" ht="102.75" customHeight="1">
      <c r="A12" s="36" t="s">
        <v>296</v>
      </c>
      <c r="B12" s="87" t="s">
        <v>116</v>
      </c>
      <c r="C12" s="11" t="s">
        <v>112</v>
      </c>
      <c r="D12" s="88" t="s">
        <v>38</v>
      </c>
      <c r="E12" s="88" t="s">
        <v>289</v>
      </c>
      <c r="F12" s="88" t="s">
        <v>336</v>
      </c>
      <c r="G12" s="88" t="s">
        <v>286</v>
      </c>
      <c r="H12" s="47">
        <v>30</v>
      </c>
      <c r="I12" s="47">
        <v>30</v>
      </c>
      <c r="J12" s="47">
        <v>30</v>
      </c>
      <c r="K12" s="47">
        <v>30</v>
      </c>
      <c r="L12" s="47">
        <v>30</v>
      </c>
      <c r="M12" s="47">
        <f>SUM(H12:L12)</f>
        <v>150</v>
      </c>
      <c r="N12" s="116" t="s">
        <v>117</v>
      </c>
    </row>
    <row r="13" spans="1:16" ht="66" customHeight="1" hidden="1">
      <c r="A13" s="107" t="s">
        <v>139</v>
      </c>
      <c r="B13" s="87" t="s">
        <v>205</v>
      </c>
      <c r="C13" s="11" t="s">
        <v>280</v>
      </c>
      <c r="D13" s="88" t="s">
        <v>282</v>
      </c>
      <c r="E13" s="88" t="s">
        <v>285</v>
      </c>
      <c r="F13" s="88" t="s">
        <v>384</v>
      </c>
      <c r="G13" s="88">
        <v>621</v>
      </c>
      <c r="H13" s="47"/>
      <c r="I13" s="47"/>
      <c r="J13" s="108"/>
      <c r="K13" s="108"/>
      <c r="L13" s="108"/>
      <c r="M13" s="47">
        <f aca="true" t="shared" si="0" ref="M13:M19">SUM(H13:J13)</f>
        <v>0</v>
      </c>
      <c r="N13" s="32"/>
      <c r="O13" s="373" t="s">
        <v>204</v>
      </c>
      <c r="P13" s="374" t="s">
        <v>213</v>
      </c>
    </row>
    <row r="14" spans="1:16" ht="68.25" customHeight="1" hidden="1">
      <c r="A14" s="107" t="s">
        <v>140</v>
      </c>
      <c r="B14" s="87" t="s">
        <v>206</v>
      </c>
      <c r="C14" s="11" t="s">
        <v>280</v>
      </c>
      <c r="D14" s="88" t="s">
        <v>282</v>
      </c>
      <c r="E14" s="88" t="s">
        <v>285</v>
      </c>
      <c r="F14" s="88" t="s">
        <v>385</v>
      </c>
      <c r="G14" s="88">
        <v>621</v>
      </c>
      <c r="H14" s="47"/>
      <c r="I14" s="47"/>
      <c r="J14" s="108"/>
      <c r="K14" s="108"/>
      <c r="L14" s="108"/>
      <c r="M14" s="47">
        <f t="shared" si="0"/>
        <v>0</v>
      </c>
      <c r="N14" s="32"/>
      <c r="O14" s="373"/>
      <c r="P14" s="374"/>
    </row>
    <row r="15" spans="1:16" ht="63" hidden="1">
      <c r="A15" s="107" t="s">
        <v>173</v>
      </c>
      <c r="B15" s="87" t="s">
        <v>207</v>
      </c>
      <c r="C15" s="11" t="s">
        <v>280</v>
      </c>
      <c r="D15" s="88" t="s">
        <v>282</v>
      </c>
      <c r="E15" s="88" t="s">
        <v>285</v>
      </c>
      <c r="F15" s="88" t="s">
        <v>386</v>
      </c>
      <c r="G15" s="88">
        <v>621</v>
      </c>
      <c r="H15" s="47"/>
      <c r="I15" s="47"/>
      <c r="J15" s="108"/>
      <c r="K15" s="108"/>
      <c r="L15" s="108"/>
      <c r="M15" s="47">
        <f t="shared" si="0"/>
        <v>0</v>
      </c>
      <c r="N15" s="32"/>
      <c r="O15" s="373"/>
      <c r="P15" s="374"/>
    </row>
    <row r="16" spans="1:16" ht="63" hidden="1">
      <c r="A16" s="107" t="s">
        <v>174</v>
      </c>
      <c r="B16" s="87" t="s">
        <v>208</v>
      </c>
      <c r="C16" s="11" t="s">
        <v>280</v>
      </c>
      <c r="D16" s="88" t="s">
        <v>282</v>
      </c>
      <c r="E16" s="88" t="s">
        <v>285</v>
      </c>
      <c r="F16" s="88" t="s">
        <v>387</v>
      </c>
      <c r="G16" s="88">
        <v>621</v>
      </c>
      <c r="H16" s="47"/>
      <c r="I16" s="47"/>
      <c r="J16" s="108"/>
      <c r="K16" s="108"/>
      <c r="L16" s="108"/>
      <c r="M16" s="47">
        <f t="shared" si="0"/>
        <v>0</v>
      </c>
      <c r="N16" s="32"/>
      <c r="O16" s="373"/>
      <c r="P16" s="374"/>
    </row>
    <row r="17" spans="1:16" ht="63" hidden="1">
      <c r="A17" s="107" t="s">
        <v>141</v>
      </c>
      <c r="B17" s="87" t="s">
        <v>209</v>
      </c>
      <c r="C17" s="11" t="s">
        <v>280</v>
      </c>
      <c r="D17" s="88" t="s">
        <v>282</v>
      </c>
      <c r="E17" s="88" t="s">
        <v>285</v>
      </c>
      <c r="F17" s="88" t="s">
        <v>388</v>
      </c>
      <c r="G17" s="88">
        <v>621</v>
      </c>
      <c r="H17" s="47"/>
      <c r="I17" s="47"/>
      <c r="J17" s="108"/>
      <c r="K17" s="108"/>
      <c r="L17" s="108"/>
      <c r="M17" s="47">
        <f t="shared" si="0"/>
        <v>0</v>
      </c>
      <c r="N17" s="32"/>
      <c r="O17" s="373"/>
      <c r="P17" s="374"/>
    </row>
    <row r="18" spans="1:16" ht="63" hidden="1">
      <c r="A18" s="107" t="s">
        <v>142</v>
      </c>
      <c r="B18" s="87" t="s">
        <v>210</v>
      </c>
      <c r="C18" s="11" t="s">
        <v>280</v>
      </c>
      <c r="D18" s="88" t="s">
        <v>282</v>
      </c>
      <c r="E18" s="88" t="s">
        <v>285</v>
      </c>
      <c r="F18" s="88" t="s">
        <v>389</v>
      </c>
      <c r="G18" s="88">
        <v>621</v>
      </c>
      <c r="H18" s="47"/>
      <c r="I18" s="47"/>
      <c r="J18" s="108"/>
      <c r="K18" s="108"/>
      <c r="L18" s="108"/>
      <c r="M18" s="47">
        <f t="shared" si="0"/>
        <v>0</v>
      </c>
      <c r="N18" s="32"/>
      <c r="O18" s="373"/>
      <c r="P18" s="374"/>
    </row>
    <row r="19" spans="1:16" ht="63" hidden="1">
      <c r="A19" s="107" t="s">
        <v>143</v>
      </c>
      <c r="B19" s="87" t="s">
        <v>211</v>
      </c>
      <c r="C19" s="11" t="s">
        <v>280</v>
      </c>
      <c r="D19" s="88" t="s">
        <v>282</v>
      </c>
      <c r="E19" s="88" t="s">
        <v>285</v>
      </c>
      <c r="F19" s="88" t="s">
        <v>390</v>
      </c>
      <c r="G19" s="88">
        <v>621</v>
      </c>
      <c r="H19" s="47"/>
      <c r="I19" s="47"/>
      <c r="J19" s="108"/>
      <c r="K19" s="108"/>
      <c r="L19" s="108"/>
      <c r="M19" s="47">
        <f t="shared" si="0"/>
        <v>0</v>
      </c>
      <c r="N19" s="32"/>
      <c r="O19" s="373"/>
      <c r="P19" s="374"/>
    </row>
    <row r="20" spans="1:16" ht="24.75" customHeight="1">
      <c r="A20" s="369" t="s">
        <v>129</v>
      </c>
      <c r="B20" s="369"/>
      <c r="C20" s="11"/>
      <c r="D20" s="88"/>
      <c r="E20" s="88"/>
      <c r="F20" s="12"/>
      <c r="G20" s="88"/>
      <c r="H20" s="47">
        <f aca="true" t="shared" si="1" ref="H20:M20">SUM(H12:H19)</f>
        <v>30</v>
      </c>
      <c r="I20" s="47">
        <f t="shared" si="1"/>
        <v>30</v>
      </c>
      <c r="J20" s="47">
        <f t="shared" si="1"/>
        <v>30</v>
      </c>
      <c r="K20" s="47">
        <f t="shared" si="1"/>
        <v>30</v>
      </c>
      <c r="L20" s="47">
        <f t="shared" si="1"/>
        <v>30</v>
      </c>
      <c r="M20" s="47">
        <f t="shared" si="1"/>
        <v>150</v>
      </c>
      <c r="N20" s="32"/>
      <c r="O20" s="176"/>
      <c r="P20" s="177"/>
    </row>
    <row r="21" spans="1:16" s="67" customFormat="1" ht="35.25" customHeight="1">
      <c r="A21" s="370" t="s">
        <v>411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176"/>
      <c r="P21" s="76"/>
    </row>
    <row r="22" spans="1:14" ht="34.5" customHeight="1" hidden="1">
      <c r="A22" s="115" t="s">
        <v>405</v>
      </c>
      <c r="B22" s="118"/>
      <c r="C22" s="95"/>
      <c r="D22" s="115"/>
      <c r="E22" s="115"/>
      <c r="F22" s="115"/>
      <c r="G22" s="88">
        <v>244</v>
      </c>
      <c r="H22" s="47"/>
      <c r="I22" s="47"/>
      <c r="J22" s="47"/>
      <c r="K22" s="47"/>
      <c r="L22" s="47"/>
      <c r="M22" s="47">
        <f>SUM(H22:J22)</f>
        <v>0</v>
      </c>
      <c r="N22" s="95"/>
    </row>
    <row r="23" spans="1:15" ht="133.5" customHeight="1">
      <c r="A23" s="88" t="s">
        <v>32</v>
      </c>
      <c r="B23" s="118" t="s">
        <v>271</v>
      </c>
      <c r="C23" s="11" t="s">
        <v>112</v>
      </c>
      <c r="D23" s="88" t="s">
        <v>38</v>
      </c>
      <c r="E23" s="88" t="s">
        <v>289</v>
      </c>
      <c r="F23" s="88" t="s">
        <v>337</v>
      </c>
      <c r="G23" s="88" t="s">
        <v>286</v>
      </c>
      <c r="H23" s="47">
        <v>35.1</v>
      </c>
      <c r="I23" s="47">
        <v>50</v>
      </c>
      <c r="J23" s="47">
        <v>60</v>
      </c>
      <c r="K23" s="47">
        <v>60</v>
      </c>
      <c r="L23" s="47">
        <v>60</v>
      </c>
      <c r="M23" s="47">
        <f>SUM(H23:L23)</f>
        <v>265.1</v>
      </c>
      <c r="N23" s="95" t="s">
        <v>113</v>
      </c>
      <c r="O23" s="1" t="s">
        <v>418</v>
      </c>
    </row>
    <row r="24" spans="1:14" ht="54.75" customHeight="1" hidden="1">
      <c r="A24" s="344" t="s">
        <v>406</v>
      </c>
      <c r="B24" s="371" t="s">
        <v>144</v>
      </c>
      <c r="C24" s="235" t="s">
        <v>280</v>
      </c>
      <c r="D24" s="344" t="s">
        <v>282</v>
      </c>
      <c r="E24" s="344" t="s">
        <v>284</v>
      </c>
      <c r="F24" s="344" t="s">
        <v>413</v>
      </c>
      <c r="G24" s="88">
        <v>244</v>
      </c>
      <c r="H24" s="47">
        <v>0</v>
      </c>
      <c r="I24" s="47">
        <v>0</v>
      </c>
      <c r="J24" s="47">
        <v>0</v>
      </c>
      <c r="K24" s="47">
        <v>0</v>
      </c>
      <c r="L24" s="47"/>
      <c r="M24" s="47">
        <f>SUM(H24:J24)</f>
        <v>0</v>
      </c>
      <c r="N24" s="114" t="s">
        <v>415</v>
      </c>
    </row>
    <row r="25" spans="1:14" ht="26.25" customHeight="1" hidden="1">
      <c r="A25" s="344"/>
      <c r="B25" s="371"/>
      <c r="C25" s="235"/>
      <c r="D25" s="344"/>
      <c r="E25" s="344"/>
      <c r="F25" s="344"/>
      <c r="G25" s="88" t="s">
        <v>412</v>
      </c>
      <c r="H25" s="47">
        <v>0</v>
      </c>
      <c r="I25" s="47">
        <v>0</v>
      </c>
      <c r="J25" s="47">
        <v>0</v>
      </c>
      <c r="K25" s="47">
        <v>0</v>
      </c>
      <c r="L25" s="47"/>
      <c r="M25" s="47"/>
      <c r="N25" s="87"/>
    </row>
    <row r="26" spans="1:14" ht="22.5" customHeight="1">
      <c r="A26" s="329" t="s">
        <v>130</v>
      </c>
      <c r="B26" s="329"/>
      <c r="C26" s="35"/>
      <c r="D26" s="35"/>
      <c r="E26" s="35"/>
      <c r="F26" s="36"/>
      <c r="G26" s="35"/>
      <c r="H26" s="47">
        <f aca="true" t="shared" si="2" ref="H26:M26">SUM(H22:H25)</f>
        <v>35.1</v>
      </c>
      <c r="I26" s="47">
        <f t="shared" si="2"/>
        <v>50</v>
      </c>
      <c r="J26" s="47">
        <f t="shared" si="2"/>
        <v>60</v>
      </c>
      <c r="K26" s="47">
        <f t="shared" si="2"/>
        <v>60</v>
      </c>
      <c r="L26" s="47">
        <f t="shared" si="2"/>
        <v>60</v>
      </c>
      <c r="M26" s="47">
        <f t="shared" si="2"/>
        <v>265.1</v>
      </c>
      <c r="N26" s="32"/>
    </row>
    <row r="27" spans="1:14" ht="22.5" customHeight="1">
      <c r="A27" s="329" t="s">
        <v>232</v>
      </c>
      <c r="B27" s="329"/>
      <c r="C27" s="12"/>
      <c r="D27" s="12"/>
      <c r="E27" s="12"/>
      <c r="F27" s="88"/>
      <c r="G27" s="12"/>
      <c r="H27" s="47">
        <f aca="true" t="shared" si="3" ref="H27:M27">H10+H20+H26</f>
        <v>75.1</v>
      </c>
      <c r="I27" s="47">
        <f t="shared" si="3"/>
        <v>120</v>
      </c>
      <c r="J27" s="47">
        <f t="shared" si="3"/>
        <v>150</v>
      </c>
      <c r="K27" s="47">
        <f t="shared" si="3"/>
        <v>150</v>
      </c>
      <c r="L27" s="47">
        <f t="shared" si="3"/>
        <v>150</v>
      </c>
      <c r="M27" s="47">
        <f t="shared" si="3"/>
        <v>645.1</v>
      </c>
      <c r="N27" s="32"/>
    </row>
    <row r="28" spans="1:9" s="3" customFormat="1" ht="21.75" customHeight="1">
      <c r="A28" s="335"/>
      <c r="B28" s="335"/>
      <c r="C28" s="109"/>
      <c r="D28" s="109"/>
      <c r="E28" s="109"/>
      <c r="F28" s="109"/>
      <c r="G28" s="109"/>
      <c r="H28" s="110"/>
      <c r="I28" s="110"/>
    </row>
    <row r="29" spans="1:9" s="3" customFormat="1" ht="20.25" customHeight="1" hidden="1">
      <c r="A29" s="331"/>
      <c r="B29" s="331"/>
      <c r="C29" s="22"/>
      <c r="D29" s="22"/>
      <c r="E29" s="22"/>
      <c r="F29" s="22"/>
      <c r="G29" s="22"/>
      <c r="H29" s="153"/>
      <c r="I29" s="153"/>
    </row>
    <row r="30" spans="1:14" ht="51.75" customHeight="1">
      <c r="A30" s="328"/>
      <c r="B30" s="328"/>
      <c r="C30" s="328"/>
      <c r="D30" s="154"/>
      <c r="E30" s="154"/>
      <c r="F30" s="154"/>
      <c r="G30" s="154"/>
      <c r="H30" s="46"/>
      <c r="N30" s="46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</sheetData>
  <sheetProtection/>
  <mergeCells count="28">
    <mergeCell ref="H3:M3"/>
    <mergeCell ref="M1:N1"/>
    <mergeCell ref="H1:I1"/>
    <mergeCell ref="A3:A4"/>
    <mergeCell ref="B3:B4"/>
    <mergeCell ref="C3:C4"/>
    <mergeCell ref="D3:G3"/>
    <mergeCell ref="A2:N2"/>
    <mergeCell ref="N3:N4"/>
    <mergeCell ref="A10:B10"/>
    <mergeCell ref="A11:N11"/>
    <mergeCell ref="O13:O19"/>
    <mergeCell ref="A5:N5"/>
    <mergeCell ref="A6:N6"/>
    <mergeCell ref="P13:P19"/>
    <mergeCell ref="D24:D25"/>
    <mergeCell ref="E24:E25"/>
    <mergeCell ref="C24:C25"/>
    <mergeCell ref="F24:F25"/>
    <mergeCell ref="A21:N21"/>
    <mergeCell ref="B24:B25"/>
    <mergeCell ref="A20:B20"/>
    <mergeCell ref="A24:A25"/>
    <mergeCell ref="A30:C30"/>
    <mergeCell ref="A26:B26"/>
    <mergeCell ref="A27:B27"/>
    <mergeCell ref="A28:B28"/>
    <mergeCell ref="A29:B29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44" r:id="rId3"/>
  <headerFooter differentFirst="1">
    <oddHeader>&amp;C&amp;P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L13"/>
  <sheetViews>
    <sheetView view="pageBreakPreview" zoomScale="86" zoomScaleSheetLayoutView="86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9.00390625" defaultRowHeight="12.75"/>
  <cols>
    <col min="1" max="1" width="6.25390625" style="70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10.875" style="129" customWidth="1"/>
    <col min="12" max="16384" width="9.125" style="1" customWidth="1"/>
  </cols>
  <sheetData>
    <row r="1" spans="1:11" ht="110.25" customHeight="1">
      <c r="A1" s="59"/>
      <c r="B1" s="30"/>
      <c r="C1" s="49"/>
      <c r="D1" s="30"/>
      <c r="F1" s="375" t="s">
        <v>522</v>
      </c>
      <c r="G1" s="375"/>
      <c r="H1" s="375"/>
      <c r="I1" s="375"/>
      <c r="J1" s="375"/>
      <c r="K1" s="375"/>
    </row>
    <row r="2" spans="1:10" ht="37.5" customHeight="1">
      <c r="A2" s="245" t="s">
        <v>546</v>
      </c>
      <c r="B2" s="245"/>
      <c r="C2" s="245"/>
      <c r="D2" s="245"/>
      <c r="E2" s="245"/>
      <c r="F2" s="245"/>
      <c r="G2" s="245"/>
      <c r="H2" s="245"/>
      <c r="I2" s="73"/>
      <c r="J2" s="73"/>
    </row>
    <row r="3" spans="1:11" ht="25.5" customHeight="1">
      <c r="A3" s="246" t="s">
        <v>131</v>
      </c>
      <c r="B3" s="247" t="s">
        <v>401</v>
      </c>
      <c r="C3" s="247" t="s">
        <v>127</v>
      </c>
      <c r="D3" s="247" t="s">
        <v>179</v>
      </c>
      <c r="E3" s="235" t="s">
        <v>161</v>
      </c>
      <c r="F3" s="235" t="s">
        <v>157</v>
      </c>
      <c r="G3" s="235" t="s">
        <v>162</v>
      </c>
      <c r="H3" s="235" t="s">
        <v>163</v>
      </c>
      <c r="I3" s="235" t="s">
        <v>164</v>
      </c>
      <c r="J3" s="235" t="s">
        <v>165</v>
      </c>
      <c r="K3" s="235" t="s">
        <v>166</v>
      </c>
    </row>
    <row r="4" spans="1:11" ht="25.5" customHeight="1">
      <c r="A4" s="246"/>
      <c r="B4" s="247"/>
      <c r="C4" s="247"/>
      <c r="D4" s="247"/>
      <c r="E4" s="235"/>
      <c r="F4" s="235"/>
      <c r="G4" s="235"/>
      <c r="H4" s="235"/>
      <c r="I4" s="235"/>
      <c r="J4" s="235"/>
      <c r="K4" s="235"/>
    </row>
    <row r="5" spans="1:11" ht="25.5" customHeight="1">
      <c r="A5" s="246"/>
      <c r="B5" s="247"/>
      <c r="C5" s="247"/>
      <c r="D5" s="247"/>
      <c r="E5" s="235"/>
      <c r="F5" s="235"/>
      <c r="G5" s="235"/>
      <c r="H5" s="235"/>
      <c r="I5" s="235"/>
      <c r="J5" s="235"/>
      <c r="K5" s="235"/>
    </row>
    <row r="6" spans="1:11" ht="36" customHeight="1">
      <c r="A6" s="236" t="s">
        <v>466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ht="88.5" customHeight="1">
      <c r="A7" s="36" t="s">
        <v>299</v>
      </c>
      <c r="B7" s="65" t="s">
        <v>467</v>
      </c>
      <c r="C7" s="37" t="s">
        <v>125</v>
      </c>
      <c r="D7" s="38" t="s">
        <v>122</v>
      </c>
      <c r="E7" s="41">
        <v>97.09</v>
      </c>
      <c r="F7" s="41">
        <v>51.6</v>
      </c>
      <c r="G7" s="41">
        <v>66.6</v>
      </c>
      <c r="H7" s="41">
        <v>65</v>
      </c>
      <c r="I7" s="41">
        <v>50</v>
      </c>
      <c r="J7" s="41">
        <v>50</v>
      </c>
      <c r="K7" s="41">
        <v>50</v>
      </c>
    </row>
    <row r="8" spans="1:11" ht="122.25" customHeight="1">
      <c r="A8" s="36" t="s">
        <v>500</v>
      </c>
      <c r="B8" s="65" t="s">
        <v>199</v>
      </c>
      <c r="C8" s="37" t="s">
        <v>125</v>
      </c>
      <c r="D8" s="38" t="s">
        <v>122</v>
      </c>
      <c r="E8" s="14">
        <v>8.02</v>
      </c>
      <c r="F8" s="14">
        <v>1.05</v>
      </c>
      <c r="G8" s="14">
        <v>4.9</v>
      </c>
      <c r="H8" s="14">
        <v>5.1</v>
      </c>
      <c r="I8" s="14">
        <v>1.1</v>
      </c>
      <c r="J8" s="14">
        <v>1.1</v>
      </c>
      <c r="K8" s="14">
        <v>1.1</v>
      </c>
    </row>
    <row r="9" spans="1:12" ht="69" customHeight="1">
      <c r="A9" s="36" t="s">
        <v>501</v>
      </c>
      <c r="B9" s="65" t="s">
        <v>468</v>
      </c>
      <c r="C9" s="37" t="s">
        <v>136</v>
      </c>
      <c r="D9" s="38" t="s">
        <v>469</v>
      </c>
      <c r="E9" s="14"/>
      <c r="F9" s="14">
        <v>18</v>
      </c>
      <c r="G9" s="14">
        <v>59</v>
      </c>
      <c r="H9" s="14">
        <v>50</v>
      </c>
      <c r="I9" s="14">
        <v>50</v>
      </c>
      <c r="J9" s="14">
        <v>50</v>
      </c>
      <c r="K9" s="14">
        <v>50</v>
      </c>
      <c r="L9" s="1" t="s">
        <v>416</v>
      </c>
    </row>
    <row r="10" spans="1:11" ht="114" customHeight="1">
      <c r="A10" s="126" t="s">
        <v>502</v>
      </c>
      <c r="B10" s="130" t="s">
        <v>470</v>
      </c>
      <c r="C10" s="131" t="s">
        <v>471</v>
      </c>
      <c r="D10" s="132" t="s">
        <v>469</v>
      </c>
      <c r="E10" s="133"/>
      <c r="F10" s="187" t="s">
        <v>272</v>
      </c>
      <c r="G10" s="126" t="s">
        <v>273</v>
      </c>
      <c r="H10" s="126" t="s">
        <v>531</v>
      </c>
      <c r="I10" s="126" t="s">
        <v>531</v>
      </c>
      <c r="J10" s="126" t="s">
        <v>531</v>
      </c>
      <c r="K10" s="126" t="s">
        <v>531</v>
      </c>
    </row>
    <row r="11" spans="1:11" ht="114" customHeight="1">
      <c r="A11" s="36" t="s">
        <v>503</v>
      </c>
      <c r="B11" s="65" t="s">
        <v>472</v>
      </c>
      <c r="C11" s="37" t="s">
        <v>136</v>
      </c>
      <c r="D11" s="38" t="s">
        <v>469</v>
      </c>
      <c r="E11" s="14"/>
      <c r="F11" s="14">
        <v>114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</row>
    <row r="12" spans="1:11" ht="114" customHeight="1">
      <c r="A12" s="36" t="s">
        <v>504</v>
      </c>
      <c r="B12" s="65" t="s">
        <v>65</v>
      </c>
      <c r="C12" s="37" t="s">
        <v>136</v>
      </c>
      <c r="D12" s="38" t="s">
        <v>469</v>
      </c>
      <c r="E12" s="14"/>
      <c r="F12" s="14">
        <v>50</v>
      </c>
      <c r="G12" s="14">
        <v>0</v>
      </c>
      <c r="H12" s="14">
        <v>50</v>
      </c>
      <c r="I12" s="14">
        <v>50</v>
      </c>
      <c r="J12" s="14">
        <v>50</v>
      </c>
      <c r="K12" s="14">
        <v>50</v>
      </c>
    </row>
    <row r="13" spans="1:10" ht="114" customHeight="1">
      <c r="A13" s="93"/>
      <c r="B13" s="94"/>
      <c r="C13" s="77"/>
      <c r="D13" s="78"/>
      <c r="E13" s="76"/>
      <c r="F13" s="76"/>
      <c r="G13" s="76"/>
      <c r="H13" s="76"/>
      <c r="I13" s="76"/>
      <c r="J13" s="76"/>
    </row>
    <row r="14" ht="26.25" customHeight="1"/>
    <row r="15" ht="31.5" customHeight="1"/>
  </sheetData>
  <sheetProtection/>
  <mergeCells count="14">
    <mergeCell ref="A6:K6"/>
    <mergeCell ref="A2:H2"/>
    <mergeCell ref="A3:A5"/>
    <mergeCell ref="B3:B5"/>
    <mergeCell ref="C3:C5"/>
    <mergeCell ref="K3:K5"/>
    <mergeCell ref="F1:K1"/>
    <mergeCell ref="J3:J5"/>
    <mergeCell ref="G3:G5"/>
    <mergeCell ref="H3:H5"/>
    <mergeCell ref="I3:I5"/>
    <mergeCell ref="D3:D5"/>
    <mergeCell ref="E3:E5"/>
    <mergeCell ref="F3:F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0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O72"/>
  <sheetViews>
    <sheetView view="pageBreakPreview" zoomScale="78" zoomScaleNormal="59" zoomScaleSheetLayoutView="78" zoomScalePageLayoutView="0" workbookViewId="0" topLeftCell="A1">
      <pane ySplit="4" topLeftCell="A5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12.25390625" style="6" customWidth="1"/>
    <col min="2" max="2" width="64.75390625" style="1" customWidth="1"/>
    <col min="3" max="3" width="21.75390625" style="7" customWidth="1"/>
    <col min="4" max="4" width="10.875" style="7" customWidth="1"/>
    <col min="5" max="5" width="12.375" style="7" customWidth="1"/>
    <col min="6" max="6" width="11.875" style="67" customWidth="1"/>
    <col min="7" max="7" width="12.25390625" style="7" customWidth="1"/>
    <col min="8" max="13" width="14.25390625" style="1" customWidth="1"/>
    <col min="14" max="14" width="39.00390625" style="1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116.25" customHeight="1">
      <c r="A1" s="2"/>
      <c r="B1" s="5"/>
      <c r="C1" s="4"/>
      <c r="D1" s="4"/>
      <c r="E1" s="4"/>
      <c r="F1" s="76"/>
      <c r="G1" s="4"/>
      <c r="H1" s="376"/>
      <c r="I1" s="376"/>
      <c r="M1" s="375" t="s">
        <v>538</v>
      </c>
      <c r="N1" s="375"/>
    </row>
    <row r="2" spans="1:14" s="3" customFormat="1" ht="41.25" customHeight="1">
      <c r="A2" s="339" t="s">
        <v>547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3" customFormat="1" ht="32.25" customHeight="1">
      <c r="A3" s="235" t="s">
        <v>131</v>
      </c>
      <c r="B3" s="235" t="s">
        <v>145</v>
      </c>
      <c r="C3" s="235" t="s">
        <v>221</v>
      </c>
      <c r="D3" s="235" t="s">
        <v>220</v>
      </c>
      <c r="E3" s="235"/>
      <c r="F3" s="235"/>
      <c r="G3" s="235"/>
      <c r="H3" s="235" t="s">
        <v>225</v>
      </c>
      <c r="I3" s="235"/>
      <c r="J3" s="235"/>
      <c r="K3" s="235"/>
      <c r="L3" s="235"/>
      <c r="M3" s="235"/>
      <c r="N3" s="235" t="s">
        <v>231</v>
      </c>
    </row>
    <row r="4" spans="1:14" s="3" customFormat="1" ht="37.5" customHeight="1">
      <c r="A4" s="235"/>
      <c r="B4" s="235"/>
      <c r="C4" s="235"/>
      <c r="D4" s="11" t="s">
        <v>221</v>
      </c>
      <c r="E4" s="11" t="s">
        <v>222</v>
      </c>
      <c r="F4" s="11" t="s">
        <v>223</v>
      </c>
      <c r="G4" s="11" t="s">
        <v>224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226</v>
      </c>
      <c r="N4" s="235"/>
    </row>
    <row r="5" spans="1:14" ht="38.25" customHeight="1">
      <c r="A5" s="281" t="s">
        <v>473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47.25" customHeight="1">
      <c r="A6" s="372" t="s">
        <v>0</v>
      </c>
      <c r="B6" s="372"/>
      <c r="C6" s="372"/>
      <c r="D6" s="372"/>
      <c r="E6" s="372"/>
      <c r="F6" s="372"/>
      <c r="G6" s="372"/>
      <c r="H6" s="372"/>
      <c r="I6" s="372"/>
      <c r="J6" s="32"/>
      <c r="K6" s="32"/>
      <c r="L6" s="32"/>
      <c r="M6" s="32"/>
      <c r="N6" s="136"/>
    </row>
    <row r="7" spans="1:14" ht="70.5" customHeight="1">
      <c r="A7" s="36" t="s">
        <v>299</v>
      </c>
      <c r="B7" s="87" t="s">
        <v>1</v>
      </c>
      <c r="C7" s="11" t="s">
        <v>112</v>
      </c>
      <c r="D7" s="88" t="s">
        <v>288</v>
      </c>
      <c r="E7" s="88" t="s">
        <v>289</v>
      </c>
      <c r="F7" s="88" t="s">
        <v>338</v>
      </c>
      <c r="G7" s="88" t="s">
        <v>286</v>
      </c>
      <c r="H7" s="158"/>
      <c r="I7" s="158"/>
      <c r="J7" s="158"/>
      <c r="K7" s="158"/>
      <c r="L7" s="158"/>
      <c r="M7" s="158">
        <f aca="true" t="shared" si="0" ref="M7:M17">SUM(H7:L7)</f>
        <v>0</v>
      </c>
      <c r="N7" s="281" t="s">
        <v>2</v>
      </c>
    </row>
    <row r="8" spans="1:15" ht="70.5" customHeight="1">
      <c r="A8" s="36" t="s">
        <v>300</v>
      </c>
      <c r="B8" s="95" t="s">
        <v>3</v>
      </c>
      <c r="C8" s="11" t="s">
        <v>112</v>
      </c>
      <c r="D8" s="88" t="s">
        <v>288</v>
      </c>
      <c r="E8" s="88" t="s">
        <v>289</v>
      </c>
      <c r="F8" s="88" t="s">
        <v>339</v>
      </c>
      <c r="G8" s="88" t="s">
        <v>286</v>
      </c>
      <c r="H8" s="158"/>
      <c r="I8" s="158"/>
      <c r="J8" s="158"/>
      <c r="K8" s="158"/>
      <c r="L8" s="158"/>
      <c r="M8" s="158">
        <f t="shared" si="0"/>
        <v>0</v>
      </c>
      <c r="N8" s="281"/>
      <c r="O8" s="1">
        <v>2</v>
      </c>
    </row>
    <row r="9" spans="1:14" ht="77.25" customHeight="1">
      <c r="A9" s="36" t="s">
        <v>73</v>
      </c>
      <c r="B9" s="95" t="s">
        <v>197</v>
      </c>
      <c r="C9" s="11" t="s">
        <v>112</v>
      </c>
      <c r="D9" s="88" t="s">
        <v>288</v>
      </c>
      <c r="E9" s="88" t="s">
        <v>289</v>
      </c>
      <c r="F9" s="88" t="s">
        <v>340</v>
      </c>
      <c r="G9" s="88" t="s">
        <v>286</v>
      </c>
      <c r="H9" s="158"/>
      <c r="I9" s="158"/>
      <c r="J9" s="158"/>
      <c r="K9" s="158"/>
      <c r="L9" s="158"/>
      <c r="M9" s="158">
        <f t="shared" si="0"/>
        <v>0</v>
      </c>
      <c r="N9" s="87" t="s">
        <v>4</v>
      </c>
    </row>
    <row r="10" spans="1:14" ht="77.25" customHeight="1">
      <c r="A10" s="36" t="s">
        <v>74</v>
      </c>
      <c r="B10" s="87" t="s">
        <v>5</v>
      </c>
      <c r="C10" s="11" t="s">
        <v>112</v>
      </c>
      <c r="D10" s="88" t="s">
        <v>288</v>
      </c>
      <c r="E10" s="88" t="s">
        <v>289</v>
      </c>
      <c r="F10" s="88" t="s">
        <v>341</v>
      </c>
      <c r="G10" s="88" t="s">
        <v>286</v>
      </c>
      <c r="H10" s="158"/>
      <c r="I10" s="158"/>
      <c r="J10" s="158"/>
      <c r="K10" s="158"/>
      <c r="L10" s="158"/>
      <c r="M10" s="158">
        <f t="shared" si="0"/>
        <v>0</v>
      </c>
      <c r="N10" s="87" t="s">
        <v>6</v>
      </c>
    </row>
    <row r="11" spans="1:14" ht="61.5" customHeight="1">
      <c r="A11" s="36" t="s">
        <v>7</v>
      </c>
      <c r="B11" s="95" t="s">
        <v>8</v>
      </c>
      <c r="C11" s="11" t="s">
        <v>41</v>
      </c>
      <c r="D11" s="88" t="s">
        <v>288</v>
      </c>
      <c r="E11" s="88" t="s">
        <v>289</v>
      </c>
      <c r="F11" s="88" t="s">
        <v>342</v>
      </c>
      <c r="G11" s="88" t="s">
        <v>286</v>
      </c>
      <c r="H11" s="158"/>
      <c r="I11" s="158"/>
      <c r="J11" s="158"/>
      <c r="K11" s="158"/>
      <c r="L11" s="158"/>
      <c r="M11" s="158">
        <f t="shared" si="0"/>
        <v>0</v>
      </c>
      <c r="N11" s="137" t="s">
        <v>9</v>
      </c>
    </row>
    <row r="12" spans="1:14" ht="37.5" customHeight="1">
      <c r="A12" s="281" t="s">
        <v>128</v>
      </c>
      <c r="B12" s="281"/>
      <c r="C12" s="11"/>
      <c r="D12" s="88"/>
      <c r="E12" s="88"/>
      <c r="F12" s="88"/>
      <c r="G12" s="88"/>
      <c r="H12" s="158">
        <f>SUM(H7:H11)</f>
        <v>0</v>
      </c>
      <c r="I12" s="158">
        <f>SUM(I7:I11)</f>
        <v>0</v>
      </c>
      <c r="J12" s="158">
        <f>SUM(J7:J11)</f>
        <v>0</v>
      </c>
      <c r="K12" s="158">
        <f>SUM(K7:K11)</f>
        <v>0</v>
      </c>
      <c r="L12" s="158">
        <f>SUM(L7:L11)</f>
        <v>0</v>
      </c>
      <c r="M12" s="158">
        <f t="shared" si="0"/>
        <v>0</v>
      </c>
      <c r="N12" s="137"/>
    </row>
    <row r="13" spans="1:14" ht="55.5" customHeight="1">
      <c r="A13" s="106" t="s">
        <v>10</v>
      </c>
      <c r="B13" s="19" t="s">
        <v>11</v>
      </c>
      <c r="C13" s="11" t="s">
        <v>41</v>
      </c>
      <c r="D13" s="88"/>
      <c r="E13" s="88"/>
      <c r="F13" s="88"/>
      <c r="G13" s="88"/>
      <c r="H13" s="158"/>
      <c r="I13" s="158"/>
      <c r="J13" s="158"/>
      <c r="K13" s="158"/>
      <c r="L13" s="158"/>
      <c r="M13" s="158">
        <f t="shared" si="0"/>
        <v>0</v>
      </c>
      <c r="N13" s="137"/>
    </row>
    <row r="14" spans="1:14" ht="93.75" customHeight="1">
      <c r="A14" s="36" t="s">
        <v>39</v>
      </c>
      <c r="B14" s="87" t="s">
        <v>253</v>
      </c>
      <c r="C14" s="11" t="s">
        <v>41</v>
      </c>
      <c r="D14" s="88" t="s">
        <v>288</v>
      </c>
      <c r="E14" s="88" t="s">
        <v>369</v>
      </c>
      <c r="F14" s="88" t="s">
        <v>367</v>
      </c>
      <c r="G14" s="88" t="s">
        <v>368</v>
      </c>
      <c r="H14" s="158">
        <v>779</v>
      </c>
      <c r="I14" s="158">
        <v>300.7</v>
      </c>
      <c r="J14" s="158"/>
      <c r="K14" s="158"/>
      <c r="L14" s="158"/>
      <c r="M14" s="158">
        <f t="shared" si="0"/>
        <v>1079.7</v>
      </c>
      <c r="N14" s="264" t="s">
        <v>373</v>
      </c>
    </row>
    <row r="15" spans="1:14" ht="93.75" customHeight="1">
      <c r="A15" s="36" t="s">
        <v>370</v>
      </c>
      <c r="B15" s="87" t="s">
        <v>251</v>
      </c>
      <c r="C15" s="11" t="s">
        <v>41</v>
      </c>
      <c r="D15" s="88" t="s">
        <v>288</v>
      </c>
      <c r="E15" s="88" t="s">
        <v>369</v>
      </c>
      <c r="F15" s="88" t="s">
        <v>250</v>
      </c>
      <c r="G15" s="88" t="s">
        <v>368</v>
      </c>
      <c r="H15" s="158">
        <v>1425.6</v>
      </c>
      <c r="I15" s="158"/>
      <c r="J15" s="158"/>
      <c r="K15" s="158"/>
      <c r="L15" s="158"/>
      <c r="M15" s="158">
        <f t="shared" si="0"/>
        <v>1425.6</v>
      </c>
      <c r="N15" s="289"/>
    </row>
    <row r="16" spans="1:14" ht="93.75" customHeight="1">
      <c r="A16" s="36" t="s">
        <v>249</v>
      </c>
      <c r="B16" s="87" t="s">
        <v>252</v>
      </c>
      <c r="C16" s="11" t="s">
        <v>41</v>
      </c>
      <c r="D16" s="88" t="s">
        <v>288</v>
      </c>
      <c r="E16" s="88" t="s">
        <v>369</v>
      </c>
      <c r="F16" s="88" t="s">
        <v>371</v>
      </c>
      <c r="G16" s="88" t="s">
        <v>368</v>
      </c>
      <c r="H16" s="158">
        <v>2022.9</v>
      </c>
      <c r="I16" s="158">
        <v>711.1</v>
      </c>
      <c r="J16" s="158"/>
      <c r="K16" s="158"/>
      <c r="L16" s="158"/>
      <c r="M16" s="158">
        <f t="shared" si="0"/>
        <v>2734</v>
      </c>
      <c r="N16" s="265"/>
    </row>
    <row r="17" spans="1:14" ht="45.75" customHeight="1">
      <c r="A17" s="379" t="s">
        <v>129</v>
      </c>
      <c r="B17" s="379"/>
      <c r="C17" s="11"/>
      <c r="D17" s="88"/>
      <c r="E17" s="88"/>
      <c r="F17" s="88"/>
      <c r="G17" s="88"/>
      <c r="H17" s="158">
        <f>SUM(H14:H16)</f>
        <v>4227.5</v>
      </c>
      <c r="I17" s="158">
        <f>SUM(I14:I16)</f>
        <v>1011.8</v>
      </c>
      <c r="J17" s="158">
        <f>SUM(J14:J16)</f>
        <v>0</v>
      </c>
      <c r="K17" s="158">
        <f>SUM(K14:K16)</f>
        <v>0</v>
      </c>
      <c r="L17" s="158">
        <f>SUM(L14:L16)</f>
        <v>0</v>
      </c>
      <c r="M17" s="158">
        <f t="shared" si="0"/>
        <v>5239.3</v>
      </c>
      <c r="N17" s="137"/>
    </row>
    <row r="18" spans="1:14" s="67" customFormat="1" ht="27" customHeight="1">
      <c r="A18" s="128" t="s">
        <v>12</v>
      </c>
      <c r="B18" s="128" t="s">
        <v>13</v>
      </c>
      <c r="C18" s="11"/>
      <c r="D18" s="88"/>
      <c r="E18" s="88"/>
      <c r="F18" s="88"/>
      <c r="G18" s="36"/>
      <c r="H18" s="47"/>
      <c r="I18" s="47"/>
      <c r="J18" s="47"/>
      <c r="K18" s="47"/>
      <c r="L18" s="47"/>
      <c r="M18" s="47"/>
      <c r="N18" s="87"/>
    </row>
    <row r="19" spans="1:14" ht="65.25" customHeight="1">
      <c r="A19" s="380" t="s">
        <v>405</v>
      </c>
      <c r="B19" s="313" t="s">
        <v>66</v>
      </c>
      <c r="C19" s="119" t="s">
        <v>67</v>
      </c>
      <c r="D19" s="88" t="s">
        <v>187</v>
      </c>
      <c r="E19" s="36" t="s">
        <v>283</v>
      </c>
      <c r="F19" s="36" t="s">
        <v>346</v>
      </c>
      <c r="G19" s="36" t="s">
        <v>261</v>
      </c>
      <c r="H19" s="47"/>
      <c r="I19" s="47">
        <v>150</v>
      </c>
      <c r="J19" s="47">
        <v>150</v>
      </c>
      <c r="K19" s="47">
        <v>150</v>
      </c>
      <c r="L19" s="47">
        <v>150</v>
      </c>
      <c r="M19" s="47">
        <f>SUM(H19:L19)</f>
        <v>600</v>
      </c>
      <c r="N19" s="344" t="s">
        <v>274</v>
      </c>
    </row>
    <row r="20" spans="1:14" ht="45.75" customHeight="1">
      <c r="A20" s="381"/>
      <c r="B20" s="315"/>
      <c r="C20" s="11" t="s">
        <v>41</v>
      </c>
      <c r="D20" s="88" t="s">
        <v>288</v>
      </c>
      <c r="E20" s="36" t="s">
        <v>283</v>
      </c>
      <c r="F20" s="36" t="s">
        <v>346</v>
      </c>
      <c r="G20" s="36" t="s">
        <v>266</v>
      </c>
      <c r="H20" s="47">
        <v>150</v>
      </c>
      <c r="I20" s="47"/>
      <c r="J20" s="47"/>
      <c r="K20" s="47"/>
      <c r="L20" s="47"/>
      <c r="M20" s="47">
        <f>SUM(H20:L20)</f>
        <v>150</v>
      </c>
      <c r="N20" s="344"/>
    </row>
    <row r="21" spans="1:14" ht="24.75" customHeight="1">
      <c r="A21" s="377" t="s">
        <v>130</v>
      </c>
      <c r="B21" s="378"/>
      <c r="C21" s="32"/>
      <c r="D21" s="32"/>
      <c r="E21" s="32"/>
      <c r="F21" s="36"/>
      <c r="G21" s="36"/>
      <c r="H21" s="47">
        <f aca="true" t="shared" si="1" ref="H21:M21">H20+H19</f>
        <v>150</v>
      </c>
      <c r="I21" s="47">
        <f t="shared" si="1"/>
        <v>150</v>
      </c>
      <c r="J21" s="47">
        <f t="shared" si="1"/>
        <v>150</v>
      </c>
      <c r="K21" s="47">
        <f t="shared" si="1"/>
        <v>150</v>
      </c>
      <c r="L21" s="47">
        <f t="shared" si="1"/>
        <v>150</v>
      </c>
      <c r="M21" s="47">
        <f t="shared" si="1"/>
        <v>750</v>
      </c>
      <c r="N21" s="127"/>
    </row>
    <row r="22" spans="1:14" ht="69.75" customHeight="1">
      <c r="A22" s="128" t="s">
        <v>14</v>
      </c>
      <c r="B22" s="128"/>
      <c r="C22" s="128"/>
      <c r="D22" s="88"/>
      <c r="E22" s="36"/>
      <c r="F22" s="36"/>
      <c r="G22" s="36"/>
      <c r="H22" s="47"/>
      <c r="I22" s="47"/>
      <c r="J22" s="47"/>
      <c r="K22" s="47"/>
      <c r="L22" s="47"/>
      <c r="M22" s="47"/>
      <c r="N22" s="105"/>
    </row>
    <row r="23" spans="1:14" ht="69.75" customHeight="1">
      <c r="A23" s="36" t="s">
        <v>15</v>
      </c>
      <c r="B23" s="105" t="s">
        <v>16</v>
      </c>
      <c r="C23" s="11" t="s">
        <v>41</v>
      </c>
      <c r="D23" s="88" t="s">
        <v>288</v>
      </c>
      <c r="E23" s="36" t="s">
        <v>289</v>
      </c>
      <c r="F23" s="36" t="s">
        <v>343</v>
      </c>
      <c r="G23" s="36" t="s">
        <v>286</v>
      </c>
      <c r="H23" s="47"/>
      <c r="I23" s="47"/>
      <c r="J23" s="47"/>
      <c r="K23" s="47"/>
      <c r="L23" s="47"/>
      <c r="M23" s="47">
        <f>SUM(H23:L23)</f>
        <v>0</v>
      </c>
      <c r="N23" s="138" t="s">
        <v>17</v>
      </c>
    </row>
    <row r="24" spans="1:14" ht="99.75" customHeight="1">
      <c r="A24" s="36" t="s">
        <v>18</v>
      </c>
      <c r="B24" s="105" t="s">
        <v>19</v>
      </c>
      <c r="C24" s="11" t="s">
        <v>41</v>
      </c>
      <c r="D24" s="88" t="s">
        <v>288</v>
      </c>
      <c r="E24" s="36" t="s">
        <v>289</v>
      </c>
      <c r="F24" s="36" t="s">
        <v>344</v>
      </c>
      <c r="G24" s="36" t="s">
        <v>286</v>
      </c>
      <c r="H24" s="47"/>
      <c r="I24" s="47"/>
      <c r="J24" s="47"/>
      <c r="K24" s="47"/>
      <c r="L24" s="47"/>
      <c r="M24" s="47">
        <f>SUM(H24:L24)</f>
        <v>0</v>
      </c>
      <c r="N24" s="138" t="s">
        <v>20</v>
      </c>
    </row>
    <row r="25" spans="1:14" ht="69.75" customHeight="1">
      <c r="A25" s="36" t="s">
        <v>21</v>
      </c>
      <c r="B25" s="105" t="s">
        <v>22</v>
      </c>
      <c r="C25" s="11" t="s">
        <v>41</v>
      </c>
      <c r="D25" s="88" t="s">
        <v>288</v>
      </c>
      <c r="E25" s="36" t="s">
        <v>289</v>
      </c>
      <c r="F25" s="36" t="s">
        <v>345</v>
      </c>
      <c r="G25" s="36" t="s">
        <v>286</v>
      </c>
      <c r="H25" s="47"/>
      <c r="I25" s="47"/>
      <c r="J25" s="47"/>
      <c r="K25" s="47"/>
      <c r="L25" s="47"/>
      <c r="M25" s="47">
        <f>SUM(H25:L25)</f>
        <v>0</v>
      </c>
      <c r="N25" s="138" t="s">
        <v>23</v>
      </c>
    </row>
    <row r="26" spans="1:14" ht="27.75" customHeight="1">
      <c r="A26" s="134" t="s">
        <v>148</v>
      </c>
      <c r="C26" s="32"/>
      <c r="D26" s="32"/>
      <c r="E26" s="32"/>
      <c r="F26" s="36"/>
      <c r="G26" s="32"/>
      <c r="H26" s="139">
        <f>SUM(H23:H25)</f>
        <v>0</v>
      </c>
      <c r="I26" s="139">
        <f>SUM(I23:I25)</f>
        <v>0</v>
      </c>
      <c r="J26" s="139">
        <f>SUM(J23:J25)</f>
        <v>0</v>
      </c>
      <c r="K26" s="139">
        <f>SUM(K23:K25)</f>
        <v>0</v>
      </c>
      <c r="L26" s="139">
        <f>SUM(L23:L25)</f>
        <v>0</v>
      </c>
      <c r="M26" s="47">
        <f>SUM(H26:J26)</f>
        <v>0</v>
      </c>
      <c r="N26" s="127"/>
    </row>
    <row r="27" spans="1:14" ht="27.75" customHeight="1">
      <c r="A27" s="336" t="s">
        <v>374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8"/>
    </row>
    <row r="28" spans="1:14" s="7" customFormat="1" ht="52.5" customHeight="1">
      <c r="A28" s="308" t="s">
        <v>375</v>
      </c>
      <c r="B28" s="284" t="s">
        <v>348</v>
      </c>
      <c r="C28" s="11" t="s">
        <v>41</v>
      </c>
      <c r="D28" s="11">
        <v>111</v>
      </c>
      <c r="E28" s="36" t="s">
        <v>289</v>
      </c>
      <c r="F28" s="88" t="s">
        <v>347</v>
      </c>
      <c r="G28" s="11">
        <v>121</v>
      </c>
      <c r="H28" s="172">
        <v>118.9</v>
      </c>
      <c r="I28" s="172"/>
      <c r="J28" s="172"/>
      <c r="K28" s="172"/>
      <c r="L28" s="172"/>
      <c r="M28" s="172">
        <f>SUM(H28:L28)</f>
        <v>118.9</v>
      </c>
      <c r="N28" s="264" t="s">
        <v>46</v>
      </c>
    </row>
    <row r="29" spans="1:14" ht="64.5" customHeight="1">
      <c r="A29" s="316"/>
      <c r="B29" s="285"/>
      <c r="C29" s="235" t="s">
        <v>45</v>
      </c>
      <c r="D29" s="344" t="s">
        <v>38</v>
      </c>
      <c r="E29" s="235" t="s">
        <v>289</v>
      </c>
      <c r="F29" s="344" t="s">
        <v>347</v>
      </c>
      <c r="G29" s="14">
        <v>121</v>
      </c>
      <c r="H29" s="172">
        <f>749.05-H30</f>
        <v>744.73</v>
      </c>
      <c r="I29" s="172">
        <f>831.1+23.6</f>
        <v>854.7</v>
      </c>
      <c r="J29" s="172">
        <v>860.9</v>
      </c>
      <c r="K29" s="172">
        <v>860.9</v>
      </c>
      <c r="L29" s="172">
        <v>860.9</v>
      </c>
      <c r="M29" s="172">
        <f>SUM(H29:L29)</f>
        <v>4182.13</v>
      </c>
      <c r="N29" s="289"/>
    </row>
    <row r="30" spans="1:14" ht="64.5" customHeight="1">
      <c r="A30" s="316"/>
      <c r="B30" s="285"/>
      <c r="C30" s="235"/>
      <c r="D30" s="344"/>
      <c r="E30" s="235"/>
      <c r="F30" s="344"/>
      <c r="G30" s="14">
        <v>122</v>
      </c>
      <c r="H30" s="172">
        <v>4.32</v>
      </c>
      <c r="I30" s="172"/>
      <c r="J30" s="172"/>
      <c r="K30" s="172"/>
      <c r="L30" s="172"/>
      <c r="M30" s="172">
        <f>SUM(H30:L30)</f>
        <v>4.32</v>
      </c>
      <c r="N30" s="289"/>
    </row>
    <row r="31" spans="1:14" ht="64.5" customHeight="1">
      <c r="A31" s="309"/>
      <c r="B31" s="345"/>
      <c r="C31" s="235"/>
      <c r="D31" s="344"/>
      <c r="E31" s="235"/>
      <c r="F31" s="344"/>
      <c r="G31" s="14">
        <v>244</v>
      </c>
      <c r="H31" s="172">
        <v>173.95</v>
      </c>
      <c r="I31" s="172">
        <v>220.9</v>
      </c>
      <c r="J31" s="172">
        <v>220.9</v>
      </c>
      <c r="K31" s="172">
        <v>220.9</v>
      </c>
      <c r="L31" s="172">
        <v>220.9</v>
      </c>
      <c r="M31" s="172">
        <f>SUM(H31:L31)</f>
        <v>1057.55</v>
      </c>
      <c r="N31" s="265"/>
    </row>
    <row r="32" spans="1:14" ht="27.75" customHeight="1">
      <c r="A32" s="134" t="s">
        <v>372</v>
      </c>
      <c r="B32" s="32"/>
      <c r="C32" s="32"/>
      <c r="D32" s="32"/>
      <c r="E32" s="32"/>
      <c r="F32" s="36"/>
      <c r="G32" s="32"/>
      <c r="H32" s="172">
        <f aca="true" t="shared" si="2" ref="H32:M32">SUM(H28:H31)</f>
        <v>1041.9</v>
      </c>
      <c r="I32" s="172">
        <f t="shared" si="2"/>
        <v>1075.6</v>
      </c>
      <c r="J32" s="172">
        <f t="shared" si="2"/>
        <v>1081.8</v>
      </c>
      <c r="K32" s="172">
        <f t="shared" si="2"/>
        <v>1081.8</v>
      </c>
      <c r="L32" s="172">
        <f t="shared" si="2"/>
        <v>1081.8</v>
      </c>
      <c r="M32" s="172">
        <f t="shared" si="2"/>
        <v>5362.9</v>
      </c>
      <c r="N32" s="127"/>
    </row>
    <row r="33" spans="1:14" ht="21.75" customHeight="1">
      <c r="A33" s="329" t="s">
        <v>232</v>
      </c>
      <c r="B33" s="329"/>
      <c r="C33" s="11"/>
      <c r="D33" s="11"/>
      <c r="E33" s="11"/>
      <c r="F33" s="11"/>
      <c r="G33" s="135"/>
      <c r="H33" s="173">
        <f aca="true" t="shared" si="3" ref="H33:M33">H26+H21+H17+H12+H32</f>
        <v>5419.4</v>
      </c>
      <c r="I33" s="173">
        <f t="shared" si="3"/>
        <v>2237.4</v>
      </c>
      <c r="J33" s="173">
        <f t="shared" si="3"/>
        <v>1231.8</v>
      </c>
      <c r="K33" s="173">
        <f t="shared" si="3"/>
        <v>1231.8</v>
      </c>
      <c r="L33" s="173">
        <f t="shared" si="3"/>
        <v>1231.8</v>
      </c>
      <c r="M33" s="173">
        <f t="shared" si="3"/>
        <v>11352.2</v>
      </c>
      <c r="N33" s="32"/>
    </row>
    <row r="34" spans="1:13" s="3" customFormat="1" ht="21.75" customHeight="1">
      <c r="A34" s="335"/>
      <c r="B34" s="335"/>
      <c r="C34" s="109"/>
      <c r="D34" s="109"/>
      <c r="E34" s="109"/>
      <c r="F34" s="155"/>
      <c r="G34" s="17"/>
      <c r="H34" s="1"/>
      <c r="I34" s="1"/>
      <c r="J34" s="1"/>
      <c r="K34" s="1"/>
      <c r="L34" s="1"/>
      <c r="M34" s="1"/>
    </row>
    <row r="35" spans="1:13" s="3" customFormat="1" ht="21.75" customHeight="1">
      <c r="A35" s="331"/>
      <c r="B35" s="331"/>
      <c r="C35" s="22"/>
      <c r="D35" s="22"/>
      <c r="E35" s="22"/>
      <c r="F35" s="76"/>
      <c r="G35" s="17"/>
      <c r="H35" s="1"/>
      <c r="I35" s="1"/>
      <c r="J35" s="1"/>
      <c r="K35" s="1"/>
      <c r="L35" s="1"/>
      <c r="M35" s="1"/>
    </row>
    <row r="36" spans="1:7" ht="21.75" customHeight="1">
      <c r="A36" s="16"/>
      <c r="B36" s="15"/>
      <c r="C36" s="17"/>
      <c r="D36" s="17"/>
      <c r="E36" s="17"/>
      <c r="G36" s="17"/>
    </row>
    <row r="37" spans="1:7" ht="15.75">
      <c r="A37" s="16"/>
      <c r="B37" s="15"/>
      <c r="C37" s="17"/>
      <c r="D37" s="17"/>
      <c r="E37" s="17"/>
      <c r="G37" s="17"/>
    </row>
    <row r="38" spans="1:7" ht="15.75">
      <c r="A38" s="16"/>
      <c r="B38" s="15"/>
      <c r="C38" s="17"/>
      <c r="D38" s="17"/>
      <c r="E38" s="17"/>
      <c r="G38" s="17"/>
    </row>
    <row r="39" spans="1:7" ht="15.75">
      <c r="A39" s="16"/>
      <c r="B39" s="15"/>
      <c r="C39" s="17"/>
      <c r="D39" s="17"/>
      <c r="E39" s="17"/>
      <c r="G39" s="17"/>
    </row>
    <row r="40" spans="1:7" ht="15.75">
      <c r="A40" s="16"/>
      <c r="B40" s="15"/>
      <c r="C40" s="17"/>
      <c r="D40" s="17"/>
      <c r="E40" s="17"/>
      <c r="G40" s="17"/>
    </row>
    <row r="41" spans="1:7" ht="15.75">
      <c r="A41" s="16"/>
      <c r="B41" s="15"/>
      <c r="C41" s="17"/>
      <c r="D41" s="17"/>
      <c r="E41" s="17"/>
      <c r="G41" s="17"/>
    </row>
    <row r="42" spans="1:7" ht="15.75">
      <c r="A42" s="16"/>
      <c r="B42" s="15"/>
      <c r="C42" s="17"/>
      <c r="D42" s="17"/>
      <c r="E42" s="17"/>
      <c r="G42" s="17"/>
    </row>
    <row r="43" spans="1:7" ht="15.75">
      <c r="A43" s="16"/>
      <c r="B43" s="15"/>
      <c r="C43" s="17"/>
      <c r="D43" s="17"/>
      <c r="E43" s="17"/>
      <c r="G43" s="17"/>
    </row>
    <row r="44" spans="1:7" ht="15.75">
      <c r="A44" s="16"/>
      <c r="B44" s="15"/>
      <c r="C44" s="17"/>
      <c r="D44" s="17"/>
      <c r="E44" s="17"/>
      <c r="G44" s="17"/>
    </row>
    <row r="45" spans="1:7" ht="15.75">
      <c r="A45" s="16"/>
      <c r="B45" s="15"/>
      <c r="C45" s="17"/>
      <c r="D45" s="17"/>
      <c r="E45" s="17"/>
      <c r="G45" s="17"/>
    </row>
    <row r="46" spans="1:7" ht="15.75">
      <c r="A46" s="16"/>
      <c r="B46" s="15"/>
      <c r="C46" s="17"/>
      <c r="D46" s="17"/>
      <c r="E46" s="17"/>
      <c r="G46" s="17"/>
    </row>
    <row r="47" spans="1:7" ht="15.75">
      <c r="A47" s="16"/>
      <c r="B47" s="15"/>
      <c r="C47" s="17"/>
      <c r="D47" s="17"/>
      <c r="E47" s="17"/>
      <c r="G47" s="17"/>
    </row>
    <row r="48" spans="1:7" ht="15.75">
      <c r="A48" s="16"/>
      <c r="B48" s="15"/>
      <c r="C48" s="17"/>
      <c r="D48" s="17"/>
      <c r="E48" s="17"/>
      <c r="G48" s="17"/>
    </row>
    <row r="49" spans="1:7" ht="15.75">
      <c r="A49" s="16"/>
      <c r="B49" s="15"/>
      <c r="C49" s="17"/>
      <c r="D49" s="17"/>
      <c r="E49" s="17"/>
      <c r="G49" s="17"/>
    </row>
    <row r="50" spans="1:7" ht="15.75">
      <c r="A50" s="16"/>
      <c r="B50" s="15"/>
      <c r="C50" s="17"/>
      <c r="D50" s="17"/>
      <c r="E50" s="17"/>
      <c r="G50" s="17"/>
    </row>
    <row r="51" spans="1:7" ht="15.75">
      <c r="A51" s="16"/>
      <c r="B51" s="15"/>
      <c r="C51" s="17"/>
      <c r="D51" s="17"/>
      <c r="E51" s="17"/>
      <c r="G51" s="17"/>
    </row>
    <row r="52" spans="1:7" ht="15.75">
      <c r="A52" s="16"/>
      <c r="B52" s="15"/>
      <c r="C52" s="17"/>
      <c r="D52" s="17"/>
      <c r="E52" s="17"/>
      <c r="G52" s="17"/>
    </row>
    <row r="53" spans="1:7" ht="15.75">
      <c r="A53" s="16"/>
      <c r="B53" s="15"/>
      <c r="C53" s="17"/>
      <c r="D53" s="17"/>
      <c r="E53" s="17"/>
      <c r="G53" s="17"/>
    </row>
    <row r="54" spans="1:7" ht="15.75">
      <c r="A54" s="16"/>
      <c r="B54" s="15"/>
      <c r="C54" s="17"/>
      <c r="D54" s="17"/>
      <c r="E54" s="17"/>
      <c r="G54" s="17"/>
    </row>
    <row r="55" spans="1:7" ht="15.75">
      <c r="A55" s="16"/>
      <c r="B55" s="15"/>
      <c r="C55" s="17"/>
      <c r="D55" s="17"/>
      <c r="E55" s="17"/>
      <c r="G55" s="17"/>
    </row>
    <row r="56" spans="1:7" ht="15.75">
      <c r="A56" s="16"/>
      <c r="B56" s="15"/>
      <c r="C56" s="17"/>
      <c r="D56" s="17"/>
      <c r="E56" s="17"/>
      <c r="G56" s="17"/>
    </row>
    <row r="57" spans="1:7" ht="15.75">
      <c r="A57" s="16"/>
      <c r="B57" s="15"/>
      <c r="C57" s="17"/>
      <c r="D57" s="17"/>
      <c r="E57" s="17"/>
      <c r="G57" s="17"/>
    </row>
    <row r="58" spans="1:7" ht="15.75">
      <c r="A58" s="16"/>
      <c r="B58" s="15"/>
      <c r="C58" s="17"/>
      <c r="D58" s="17"/>
      <c r="E58" s="17"/>
      <c r="G58" s="17"/>
    </row>
    <row r="59" spans="1:7" ht="15.75">
      <c r="A59" s="16"/>
      <c r="B59" s="15"/>
      <c r="C59" s="17"/>
      <c r="D59" s="17"/>
      <c r="E59" s="17"/>
      <c r="G59" s="17"/>
    </row>
    <row r="60" spans="1:7" ht="15.75">
      <c r="A60" s="16"/>
      <c r="B60" s="15"/>
      <c r="C60" s="17"/>
      <c r="D60" s="17"/>
      <c r="E60" s="17"/>
      <c r="G60" s="17"/>
    </row>
    <row r="61" spans="1:7" ht="15.75">
      <c r="A61" s="16"/>
      <c r="B61" s="15"/>
      <c r="C61" s="17"/>
      <c r="D61" s="17"/>
      <c r="E61" s="17"/>
      <c r="G61" s="17"/>
    </row>
    <row r="62" spans="1:7" ht="15.75">
      <c r="A62" s="16"/>
      <c r="B62" s="15"/>
      <c r="C62" s="17"/>
      <c r="D62" s="17"/>
      <c r="E62" s="17"/>
      <c r="G62" s="17"/>
    </row>
    <row r="63" spans="1:7" ht="15.75">
      <c r="A63" s="16"/>
      <c r="B63" s="15"/>
      <c r="C63" s="17"/>
      <c r="D63" s="17"/>
      <c r="E63" s="17"/>
      <c r="G63" s="17"/>
    </row>
    <row r="64" spans="1:7" ht="15.75">
      <c r="A64" s="16"/>
      <c r="B64" s="15"/>
      <c r="C64" s="17"/>
      <c r="D64" s="17"/>
      <c r="E64" s="17"/>
      <c r="G64" s="17"/>
    </row>
    <row r="65" spans="1:7" ht="15.75">
      <c r="A65" s="16"/>
      <c r="B65" s="15"/>
      <c r="C65" s="17"/>
      <c r="D65" s="17"/>
      <c r="E65" s="17"/>
      <c r="G65" s="17"/>
    </row>
    <row r="66" spans="1:7" ht="15.75">
      <c r="A66" s="16"/>
      <c r="B66" s="15"/>
      <c r="C66" s="17"/>
      <c r="D66" s="17"/>
      <c r="E66" s="17"/>
      <c r="G66" s="17"/>
    </row>
    <row r="67" spans="1:7" ht="15.75">
      <c r="A67" s="16"/>
      <c r="B67" s="15"/>
      <c r="C67" s="17"/>
      <c r="D67" s="17"/>
      <c r="E67" s="17"/>
      <c r="G67" s="17"/>
    </row>
    <row r="68" spans="1:7" ht="15.75">
      <c r="A68" s="16"/>
      <c r="B68" s="15"/>
      <c r="C68" s="17"/>
      <c r="D68" s="17"/>
      <c r="E68" s="17"/>
      <c r="G68" s="17"/>
    </row>
    <row r="69" spans="1:7" ht="15.75">
      <c r="A69" s="16"/>
      <c r="B69" s="15"/>
      <c r="C69" s="17"/>
      <c r="D69" s="17"/>
      <c r="E69" s="17"/>
      <c r="G69" s="17"/>
    </row>
    <row r="70" spans="1:5" ht="15.75">
      <c r="A70" s="16"/>
      <c r="B70" s="15"/>
      <c r="C70" s="17"/>
      <c r="D70" s="17"/>
      <c r="E70" s="17"/>
    </row>
    <row r="71" spans="1:5" ht="15.75">
      <c r="A71" s="16"/>
      <c r="B71" s="15"/>
      <c r="C71" s="17"/>
      <c r="D71" s="17"/>
      <c r="E71" s="17"/>
    </row>
    <row r="72" spans="1:5" ht="15.75">
      <c r="A72" s="16"/>
      <c r="B72" s="15"/>
      <c r="C72" s="17"/>
      <c r="D72" s="17"/>
      <c r="E72" s="17"/>
    </row>
  </sheetData>
  <sheetProtection/>
  <mergeCells count="30">
    <mergeCell ref="M1:N1"/>
    <mergeCell ref="A2:N2"/>
    <mergeCell ref="A6:I6"/>
    <mergeCell ref="N3:N4"/>
    <mergeCell ref="H1:I1"/>
    <mergeCell ref="A3:A4"/>
    <mergeCell ref="B3:B4"/>
    <mergeCell ref="A5:N5"/>
    <mergeCell ref="D3:G3"/>
    <mergeCell ref="C3:C4"/>
    <mergeCell ref="A34:B34"/>
    <mergeCell ref="N7:N8"/>
    <mergeCell ref="A12:B12"/>
    <mergeCell ref="A17:B17"/>
    <mergeCell ref="A27:N27"/>
    <mergeCell ref="A19:A20"/>
    <mergeCell ref="B19:B20"/>
    <mergeCell ref="A28:A31"/>
    <mergeCell ref="B28:B31"/>
    <mergeCell ref="N19:N20"/>
    <mergeCell ref="N28:N31"/>
    <mergeCell ref="H3:M3"/>
    <mergeCell ref="A35:B35"/>
    <mergeCell ref="A21:B21"/>
    <mergeCell ref="N14:N16"/>
    <mergeCell ref="C29:C31"/>
    <mergeCell ref="D29:D31"/>
    <mergeCell ref="E29:E31"/>
    <mergeCell ref="F29:F31"/>
    <mergeCell ref="A33:B33"/>
  </mergeCells>
  <printOptions/>
  <pageMargins left="0.5118110236220472" right="0.5118110236220472" top="0.5511811023622047" bottom="0.35433070866141736" header="0.31496062992125984" footer="0.31496062992125984"/>
  <pageSetup fitToHeight="2" fitToWidth="1" horizontalDpi="600" verticalDpi="600" orientation="landscape" paperSize="9" scale="43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9.00390625" defaultRowHeight="12.75"/>
  <cols>
    <col min="1" max="1" width="7.625" style="70" customWidth="1"/>
    <col min="2" max="2" width="79.125" style="1" customWidth="1"/>
    <col min="3" max="3" width="12.00390625" style="1" customWidth="1"/>
    <col min="4" max="4" width="16.25390625" style="1" customWidth="1"/>
    <col min="5" max="9" width="11.375" style="1" customWidth="1"/>
    <col min="10" max="10" width="9.125" style="63" customWidth="1"/>
    <col min="11" max="16384" width="9.125" style="1" customWidth="1"/>
  </cols>
  <sheetData>
    <row r="1" spans="1:10" ht="114.75" customHeight="1">
      <c r="A1" s="59"/>
      <c r="B1" s="30"/>
      <c r="C1" s="49"/>
      <c r="D1" s="30"/>
      <c r="E1" s="375" t="s">
        <v>540</v>
      </c>
      <c r="F1" s="375"/>
      <c r="G1" s="375"/>
      <c r="H1" s="375"/>
      <c r="I1" s="375"/>
      <c r="J1" s="375"/>
    </row>
    <row r="2" spans="1:9" ht="37.5" customHeight="1">
      <c r="A2" s="245" t="s">
        <v>546</v>
      </c>
      <c r="B2" s="245"/>
      <c r="C2" s="245"/>
      <c r="D2" s="245"/>
      <c r="E2" s="245"/>
      <c r="F2" s="245"/>
      <c r="G2" s="245"/>
      <c r="H2" s="245"/>
      <c r="I2" s="64"/>
    </row>
    <row r="3" spans="1:10" ht="25.5" customHeight="1">
      <c r="A3" s="246" t="s">
        <v>131</v>
      </c>
      <c r="B3" s="247" t="s">
        <v>401</v>
      </c>
      <c r="C3" s="247" t="s">
        <v>127</v>
      </c>
      <c r="D3" s="247" t="s">
        <v>179</v>
      </c>
      <c r="E3" s="235" t="s">
        <v>157</v>
      </c>
      <c r="F3" s="235" t="s">
        <v>162</v>
      </c>
      <c r="G3" s="235" t="s">
        <v>163</v>
      </c>
      <c r="H3" s="235" t="s">
        <v>164</v>
      </c>
      <c r="I3" s="235" t="s">
        <v>165</v>
      </c>
      <c r="J3" s="235" t="s">
        <v>166</v>
      </c>
    </row>
    <row r="4" spans="1:10" ht="25.5" customHeight="1">
      <c r="A4" s="246"/>
      <c r="B4" s="247"/>
      <c r="C4" s="247"/>
      <c r="D4" s="247"/>
      <c r="E4" s="235"/>
      <c r="F4" s="235"/>
      <c r="G4" s="235"/>
      <c r="H4" s="235"/>
      <c r="I4" s="235"/>
      <c r="J4" s="235"/>
    </row>
    <row r="5" spans="1:10" ht="25.5" customHeight="1">
      <c r="A5" s="246"/>
      <c r="B5" s="247"/>
      <c r="C5" s="247"/>
      <c r="D5" s="247"/>
      <c r="E5" s="235"/>
      <c r="F5" s="235"/>
      <c r="G5" s="235"/>
      <c r="H5" s="235"/>
      <c r="I5" s="235"/>
      <c r="J5" s="235"/>
    </row>
    <row r="6" spans="1:10" ht="27" customHeight="1">
      <c r="A6" s="236" t="s">
        <v>424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93.75" customHeight="1">
      <c r="A7" s="31" t="s">
        <v>494</v>
      </c>
      <c r="B7" s="96" t="s">
        <v>26</v>
      </c>
      <c r="C7" s="31" t="s">
        <v>294</v>
      </c>
      <c r="D7" s="31" t="s">
        <v>40</v>
      </c>
      <c r="E7" s="31">
        <v>5</v>
      </c>
      <c r="F7" s="31">
        <v>5</v>
      </c>
      <c r="G7" s="31">
        <v>5</v>
      </c>
      <c r="H7" s="31">
        <v>5</v>
      </c>
      <c r="I7" s="31">
        <v>5</v>
      </c>
      <c r="J7" s="31">
        <v>5</v>
      </c>
    </row>
    <row r="8" spans="1:10" ht="75" customHeight="1">
      <c r="A8" s="36" t="s">
        <v>495</v>
      </c>
      <c r="B8" s="146" t="s">
        <v>27</v>
      </c>
      <c r="C8" s="31" t="s">
        <v>294</v>
      </c>
      <c r="D8" s="31" t="s">
        <v>40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31">
        <v>5</v>
      </c>
    </row>
    <row r="9" spans="1:10" ht="96" customHeight="1">
      <c r="A9" s="36" t="s">
        <v>496</v>
      </c>
      <c r="B9" s="146" t="s">
        <v>28</v>
      </c>
      <c r="C9" s="31" t="s">
        <v>294</v>
      </c>
      <c r="D9" s="31" t="s">
        <v>41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31">
        <v>5</v>
      </c>
    </row>
    <row r="10" spans="1:10" ht="113.25" customHeight="1">
      <c r="A10" s="36" t="s">
        <v>497</v>
      </c>
      <c r="B10" s="82" t="s">
        <v>42</v>
      </c>
      <c r="C10" s="31" t="s">
        <v>294</v>
      </c>
      <c r="D10" s="31" t="s">
        <v>41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31">
        <v>5</v>
      </c>
    </row>
    <row r="11" spans="1:10" ht="66.75" customHeight="1">
      <c r="A11" s="36" t="s">
        <v>498</v>
      </c>
      <c r="B11" s="146" t="s">
        <v>29</v>
      </c>
      <c r="C11" s="31" t="s">
        <v>294</v>
      </c>
      <c r="D11" s="31" t="s">
        <v>40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31">
        <v>5</v>
      </c>
    </row>
    <row r="12" spans="1:9" ht="53.25" customHeight="1">
      <c r="A12" s="113"/>
      <c r="B12" s="71"/>
      <c r="C12" s="71"/>
      <c r="G12" s="244"/>
      <c r="H12" s="244"/>
      <c r="I12" s="64"/>
    </row>
  </sheetData>
  <sheetProtection/>
  <mergeCells count="14">
    <mergeCell ref="G12:H12"/>
    <mergeCell ref="A2:H2"/>
    <mergeCell ref="F3:F5"/>
    <mergeCell ref="G3:G5"/>
    <mergeCell ref="H3:H5"/>
    <mergeCell ref="J3:J5"/>
    <mergeCell ref="A6:J6"/>
    <mergeCell ref="E1:J1"/>
    <mergeCell ref="I3:I5"/>
    <mergeCell ref="A3:A5"/>
    <mergeCell ref="B3:B5"/>
    <mergeCell ref="C3:C5"/>
    <mergeCell ref="D3:D5"/>
    <mergeCell ref="E3:E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7" r:id="rId1"/>
  <headerFooter differentFirst="1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7"/>
  <sheetViews>
    <sheetView tabSelected="1" view="pageBreakPreview" zoomScale="66" zoomScaleNormal="55" zoomScaleSheetLayoutView="66" zoomScalePageLayoutView="0" workbookViewId="0" topLeftCell="A1">
      <selection activeCell="A2" sqref="A2:N2"/>
    </sheetView>
  </sheetViews>
  <sheetFormatPr defaultColWidth="9.00390625" defaultRowHeight="12.75"/>
  <cols>
    <col min="1" max="1" width="8.375" style="6" customWidth="1"/>
    <col min="2" max="2" width="75.1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13" width="18.75390625" style="1" customWidth="1"/>
    <col min="14" max="14" width="40.625" style="181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114.75" customHeight="1">
      <c r="A1" s="2"/>
      <c r="B1" s="5"/>
      <c r="C1" s="4"/>
      <c r="D1" s="4"/>
      <c r="E1" s="4"/>
      <c r="F1" s="4"/>
      <c r="G1" s="4"/>
      <c r="H1" s="376"/>
      <c r="I1" s="376"/>
      <c r="M1" s="375" t="s">
        <v>539</v>
      </c>
      <c r="N1" s="375"/>
    </row>
    <row r="2" spans="1:14" s="3" customFormat="1" ht="36" customHeight="1">
      <c r="A2" s="339" t="s">
        <v>547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3" customFormat="1" ht="32.25" customHeight="1">
      <c r="A3" s="235" t="s">
        <v>131</v>
      </c>
      <c r="B3" s="235" t="s">
        <v>145</v>
      </c>
      <c r="C3" s="235" t="s">
        <v>221</v>
      </c>
      <c r="D3" s="235" t="s">
        <v>220</v>
      </c>
      <c r="E3" s="235"/>
      <c r="F3" s="235"/>
      <c r="G3" s="235"/>
      <c r="H3" s="235" t="s">
        <v>225</v>
      </c>
      <c r="I3" s="235"/>
      <c r="J3" s="235"/>
      <c r="K3" s="235"/>
      <c r="L3" s="235"/>
      <c r="M3" s="235"/>
      <c r="N3" s="281" t="s">
        <v>231</v>
      </c>
    </row>
    <row r="4" spans="1:14" s="3" customFormat="1" ht="37.5" customHeight="1">
      <c r="A4" s="235"/>
      <c r="B4" s="235"/>
      <c r="C4" s="235"/>
      <c r="D4" s="11" t="s">
        <v>221</v>
      </c>
      <c r="E4" s="11" t="s">
        <v>222</v>
      </c>
      <c r="F4" s="11" t="s">
        <v>223</v>
      </c>
      <c r="G4" s="11" t="s">
        <v>224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226</v>
      </c>
      <c r="N4" s="281"/>
    </row>
    <row r="5" spans="1:14" ht="27" customHeight="1">
      <c r="A5" s="281" t="s">
        <v>54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27" customHeight="1">
      <c r="A6" s="336" t="s">
        <v>43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</row>
    <row r="7" spans="1:14" ht="48.75" customHeight="1">
      <c r="A7" s="344" t="s">
        <v>301</v>
      </c>
      <c r="B7" s="235" t="s">
        <v>44</v>
      </c>
      <c r="C7" s="235" t="s">
        <v>45</v>
      </c>
      <c r="D7" s="344" t="s">
        <v>38</v>
      </c>
      <c r="E7" s="235" t="s">
        <v>289</v>
      </c>
      <c r="F7" s="344" t="s">
        <v>349</v>
      </c>
      <c r="G7" s="36" t="s">
        <v>185</v>
      </c>
      <c r="H7" s="179">
        <v>2075.78</v>
      </c>
      <c r="I7" s="179">
        <v>1740.4</v>
      </c>
      <c r="J7" s="179">
        <v>1797.4</v>
      </c>
      <c r="K7" s="179">
        <v>1797.4</v>
      </c>
      <c r="L7" s="179">
        <v>1797.4</v>
      </c>
      <c r="M7" s="179">
        <f>SUM(H7:L7)</f>
        <v>9208.38</v>
      </c>
      <c r="N7" s="284" t="s">
        <v>46</v>
      </c>
    </row>
    <row r="8" spans="1:14" ht="48.75" customHeight="1">
      <c r="A8" s="344"/>
      <c r="B8" s="235"/>
      <c r="C8" s="235"/>
      <c r="D8" s="344"/>
      <c r="E8" s="235"/>
      <c r="F8" s="344"/>
      <c r="G8" s="36" t="s">
        <v>186</v>
      </c>
      <c r="H8" s="179"/>
      <c r="I8" s="179"/>
      <c r="J8" s="179">
        <v>10.5</v>
      </c>
      <c r="K8" s="179">
        <v>10.5</v>
      </c>
      <c r="L8" s="179">
        <v>10.5</v>
      </c>
      <c r="M8" s="179">
        <f>SUM(H8:L8)</f>
        <v>31.5</v>
      </c>
      <c r="N8" s="285"/>
    </row>
    <row r="9" spans="1:14" ht="48.75" customHeight="1">
      <c r="A9" s="344"/>
      <c r="B9" s="235"/>
      <c r="C9" s="235"/>
      <c r="D9" s="344"/>
      <c r="E9" s="235"/>
      <c r="F9" s="344"/>
      <c r="G9" s="36" t="s">
        <v>286</v>
      </c>
      <c r="H9" s="179">
        <v>416.54</v>
      </c>
      <c r="I9" s="179">
        <v>353.1</v>
      </c>
      <c r="J9" s="179">
        <v>387.4</v>
      </c>
      <c r="K9" s="179">
        <v>387.4</v>
      </c>
      <c r="L9" s="179">
        <v>387.4</v>
      </c>
      <c r="M9" s="179">
        <f>SUM(H9:L9)</f>
        <v>1931.84</v>
      </c>
      <c r="N9" s="285"/>
    </row>
    <row r="10" spans="1:15" ht="48.75" customHeight="1">
      <c r="A10" s="344"/>
      <c r="B10" s="235"/>
      <c r="C10" s="235"/>
      <c r="D10" s="344"/>
      <c r="E10" s="235"/>
      <c r="F10" s="344"/>
      <c r="G10" s="36" t="s">
        <v>351</v>
      </c>
      <c r="H10" s="178"/>
      <c r="I10" s="178">
        <v>1.6</v>
      </c>
      <c r="J10" s="178">
        <v>1.6</v>
      </c>
      <c r="K10" s="178">
        <v>1.6</v>
      </c>
      <c r="L10" s="178">
        <v>1.6</v>
      </c>
      <c r="M10" s="179">
        <f>SUM(H10:L10)</f>
        <v>6.4</v>
      </c>
      <c r="N10" s="345"/>
      <c r="O10" s="1">
        <v>5123</v>
      </c>
    </row>
    <row r="11" spans="1:14" ht="48.75" customHeight="1">
      <c r="A11" s="385" t="s">
        <v>50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7"/>
    </row>
    <row r="12" spans="1:14" ht="40.5" customHeight="1">
      <c r="A12" s="382" t="s">
        <v>408</v>
      </c>
      <c r="B12" s="284" t="s">
        <v>47</v>
      </c>
      <c r="C12" s="264" t="s">
        <v>45</v>
      </c>
      <c r="D12" s="308" t="s">
        <v>38</v>
      </c>
      <c r="E12" s="264" t="s">
        <v>289</v>
      </c>
      <c r="F12" s="308" t="s">
        <v>350</v>
      </c>
      <c r="G12" s="36" t="s">
        <v>288</v>
      </c>
      <c r="H12" s="178">
        <v>2147.06</v>
      </c>
      <c r="I12" s="178">
        <v>2910.24</v>
      </c>
      <c r="J12" s="178">
        <v>3244.7</v>
      </c>
      <c r="K12" s="178">
        <v>3244.7</v>
      </c>
      <c r="L12" s="178">
        <v>3244.7</v>
      </c>
      <c r="M12" s="179">
        <f>SUM(H12:L12)</f>
        <v>14791.4</v>
      </c>
      <c r="N12" s="284" t="s">
        <v>48</v>
      </c>
    </row>
    <row r="13" spans="1:14" ht="40.5" customHeight="1">
      <c r="A13" s="383"/>
      <c r="B13" s="285"/>
      <c r="C13" s="289"/>
      <c r="D13" s="316"/>
      <c r="E13" s="289"/>
      <c r="F13" s="316"/>
      <c r="G13" s="36" t="s">
        <v>184</v>
      </c>
      <c r="H13" s="178">
        <v>12.4</v>
      </c>
      <c r="I13" s="178"/>
      <c r="J13" s="178">
        <v>15</v>
      </c>
      <c r="K13" s="178">
        <v>15</v>
      </c>
      <c r="L13" s="178">
        <v>15</v>
      </c>
      <c r="M13" s="179">
        <f aca="true" t="shared" si="0" ref="M13:M18">SUM(H13:L13)</f>
        <v>57.4</v>
      </c>
      <c r="N13" s="285"/>
    </row>
    <row r="14" spans="1:14" ht="40.5" customHeight="1">
      <c r="A14" s="383"/>
      <c r="B14" s="285"/>
      <c r="C14" s="289"/>
      <c r="D14" s="316"/>
      <c r="E14" s="289"/>
      <c r="F14" s="316"/>
      <c r="G14" s="36" t="s">
        <v>286</v>
      </c>
      <c r="H14" s="178">
        <v>1281.78</v>
      </c>
      <c r="I14" s="178">
        <f>1141.1+0.87</f>
        <v>1141.97</v>
      </c>
      <c r="J14" s="178">
        <v>1599.1</v>
      </c>
      <c r="K14" s="178">
        <v>1599.1</v>
      </c>
      <c r="L14" s="178">
        <v>1599.1</v>
      </c>
      <c r="M14" s="179">
        <f t="shared" si="0"/>
        <v>7221.05</v>
      </c>
      <c r="N14" s="285"/>
    </row>
    <row r="15" spans="1:15" ht="40.5" customHeight="1">
      <c r="A15" s="383"/>
      <c r="B15" s="345"/>
      <c r="C15" s="265"/>
      <c r="D15" s="309"/>
      <c r="E15" s="265"/>
      <c r="F15" s="309"/>
      <c r="G15" s="36" t="s">
        <v>351</v>
      </c>
      <c r="H15" s="178">
        <v>2.05</v>
      </c>
      <c r="I15" s="178">
        <v>2.1</v>
      </c>
      <c r="J15" s="178">
        <v>2.1</v>
      </c>
      <c r="K15" s="178">
        <v>2.1</v>
      </c>
      <c r="L15" s="178">
        <v>2.1</v>
      </c>
      <c r="M15" s="179">
        <f t="shared" si="0"/>
        <v>10.45</v>
      </c>
      <c r="N15" s="285"/>
      <c r="O15" s="1">
        <v>5123</v>
      </c>
    </row>
    <row r="16" spans="1:14" ht="73.5" customHeight="1">
      <c r="A16" s="384"/>
      <c r="B16" s="205" t="s">
        <v>506</v>
      </c>
      <c r="C16" s="119" t="s">
        <v>45</v>
      </c>
      <c r="D16" s="120" t="s">
        <v>38</v>
      </c>
      <c r="E16" s="119" t="s">
        <v>289</v>
      </c>
      <c r="F16" s="120" t="s">
        <v>510</v>
      </c>
      <c r="G16" s="36" t="s">
        <v>286</v>
      </c>
      <c r="H16" s="178"/>
      <c r="I16" s="178">
        <v>37.45</v>
      </c>
      <c r="J16" s="178"/>
      <c r="K16" s="178"/>
      <c r="L16" s="178"/>
      <c r="M16" s="179">
        <f t="shared" si="0"/>
        <v>37.45</v>
      </c>
      <c r="N16" s="285"/>
    </row>
    <row r="17" spans="1:14" ht="73.5" customHeight="1">
      <c r="A17" s="120" t="s">
        <v>352</v>
      </c>
      <c r="B17" s="166" t="s">
        <v>309</v>
      </c>
      <c r="C17" s="119" t="s">
        <v>45</v>
      </c>
      <c r="D17" s="120" t="s">
        <v>38</v>
      </c>
      <c r="E17" s="119" t="s">
        <v>289</v>
      </c>
      <c r="F17" s="120" t="s">
        <v>354</v>
      </c>
      <c r="G17" s="36" t="s">
        <v>355</v>
      </c>
      <c r="H17" s="178">
        <v>202.81</v>
      </c>
      <c r="I17" s="178">
        <v>197</v>
      </c>
      <c r="J17" s="178">
        <v>464.6</v>
      </c>
      <c r="K17" s="178">
        <v>464.6</v>
      </c>
      <c r="L17" s="178">
        <v>464.6</v>
      </c>
      <c r="M17" s="179">
        <f t="shared" si="0"/>
        <v>1793.61</v>
      </c>
      <c r="N17" s="345"/>
    </row>
    <row r="18" spans="1:14" ht="86.25" customHeight="1">
      <c r="A18" s="120" t="s">
        <v>353</v>
      </c>
      <c r="B18" s="137" t="s">
        <v>49</v>
      </c>
      <c r="C18" s="119" t="s">
        <v>45</v>
      </c>
      <c r="D18" s="104" t="s">
        <v>38</v>
      </c>
      <c r="E18" s="119" t="s">
        <v>289</v>
      </c>
      <c r="F18" s="120" t="s">
        <v>356</v>
      </c>
      <c r="G18" s="36" t="s">
        <v>425</v>
      </c>
      <c r="H18" s="178"/>
      <c r="I18" s="178">
        <v>60</v>
      </c>
      <c r="J18" s="178">
        <v>60</v>
      </c>
      <c r="K18" s="178">
        <v>60</v>
      </c>
      <c r="L18" s="178">
        <v>60</v>
      </c>
      <c r="M18" s="179">
        <f t="shared" si="0"/>
        <v>240</v>
      </c>
      <c r="N18" s="87" t="s">
        <v>432</v>
      </c>
    </row>
    <row r="19" spans="1:14" s="67" customFormat="1" ht="22.5" customHeight="1">
      <c r="A19" s="330" t="s">
        <v>232</v>
      </c>
      <c r="B19" s="330"/>
      <c r="C19" s="11"/>
      <c r="D19" s="88"/>
      <c r="E19" s="11"/>
      <c r="F19" s="11"/>
      <c r="G19" s="11"/>
      <c r="H19" s="178">
        <f aca="true" t="shared" si="1" ref="H19:M19">SUM(H7:H18)</f>
        <v>6138.42</v>
      </c>
      <c r="I19" s="178">
        <f t="shared" si="1"/>
        <v>6443.86</v>
      </c>
      <c r="J19" s="178">
        <f t="shared" si="1"/>
        <v>7582.4</v>
      </c>
      <c r="K19" s="178">
        <f t="shared" si="1"/>
        <v>7582.4</v>
      </c>
      <c r="L19" s="178">
        <f t="shared" si="1"/>
        <v>7582.4</v>
      </c>
      <c r="M19" s="178">
        <f t="shared" si="1"/>
        <v>35329.48</v>
      </c>
      <c r="N19" s="90"/>
    </row>
    <row r="20" spans="1:14" ht="51.75" customHeight="1">
      <c r="A20" s="328"/>
      <c r="B20" s="328"/>
      <c r="C20" s="328"/>
      <c r="D20" s="154"/>
      <c r="E20" s="154"/>
      <c r="F20" s="154"/>
      <c r="G20" s="154"/>
      <c r="H20" s="121"/>
      <c r="N20" s="154"/>
    </row>
    <row r="21" spans="1:7" ht="15.75">
      <c r="A21" s="16"/>
      <c r="B21" s="15"/>
      <c r="C21" s="17"/>
      <c r="D21" s="17"/>
      <c r="E21" s="17"/>
      <c r="F21" s="17"/>
      <c r="G21" s="17"/>
    </row>
    <row r="22" spans="1:7" ht="15.75">
      <c r="A22" s="16"/>
      <c r="B22" s="15"/>
      <c r="C22" s="17"/>
      <c r="D22" s="17"/>
      <c r="E22" s="17"/>
      <c r="F22" s="17"/>
      <c r="G22" s="17"/>
    </row>
    <row r="23" spans="1:7" ht="15.75">
      <c r="A23" s="16"/>
      <c r="B23" s="15"/>
      <c r="C23" s="17"/>
      <c r="D23" s="17"/>
      <c r="E23" s="17"/>
      <c r="F23" s="17"/>
      <c r="G23" s="17"/>
    </row>
    <row r="24" spans="1:7" ht="15.75">
      <c r="A24" s="16"/>
      <c r="B24" s="15"/>
      <c r="C24" s="17"/>
      <c r="D24" s="17"/>
      <c r="E24" s="17"/>
      <c r="F24" s="17"/>
      <c r="G24" s="17"/>
    </row>
    <row r="25" spans="1:7" ht="15.75">
      <c r="A25" s="16"/>
      <c r="B25" s="15"/>
      <c r="C25" s="17"/>
      <c r="D25" s="17"/>
      <c r="E25" s="17"/>
      <c r="F25" s="17"/>
      <c r="G25" s="17"/>
    </row>
    <row r="26" spans="1:7" ht="15.75">
      <c r="A26" s="16"/>
      <c r="B26" s="15"/>
      <c r="C26" s="17"/>
      <c r="D26" s="17"/>
      <c r="E26" s="17"/>
      <c r="F26" s="17"/>
      <c r="G26" s="17"/>
    </row>
    <row r="27" spans="1:7" ht="15.75">
      <c r="A27" s="16"/>
      <c r="B27" s="15"/>
      <c r="C27" s="17"/>
      <c r="D27" s="17"/>
      <c r="E27" s="17"/>
      <c r="F27" s="17"/>
      <c r="G27" s="17"/>
    </row>
    <row r="28" spans="1:7" ht="15.75">
      <c r="A28" s="16"/>
      <c r="B28" s="15"/>
      <c r="C28" s="17"/>
      <c r="D28" s="17"/>
      <c r="E28" s="17"/>
      <c r="F28" s="17"/>
      <c r="G28" s="17"/>
    </row>
    <row r="29" spans="1:7" ht="15.75">
      <c r="A29" s="16"/>
      <c r="B29" s="15"/>
      <c r="C29" s="17"/>
      <c r="D29" s="17"/>
      <c r="E29" s="17"/>
      <c r="F29" s="17"/>
      <c r="G29" s="17"/>
    </row>
    <row r="30" spans="1:7" ht="15.75">
      <c r="A30" s="16"/>
      <c r="B30" s="15"/>
      <c r="C30" s="17"/>
      <c r="D30" s="17"/>
      <c r="E30" s="17"/>
      <c r="F30" s="17"/>
      <c r="G30" s="17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</sheetData>
  <sheetProtection/>
  <mergeCells count="28">
    <mergeCell ref="N12:N17"/>
    <mergeCell ref="D3:G3"/>
    <mergeCell ref="E12:E15"/>
    <mergeCell ref="A5:N5"/>
    <mergeCell ref="A11:N11"/>
    <mergeCell ref="D12:D15"/>
    <mergeCell ref="C7:C10"/>
    <mergeCell ref="D7:D10"/>
    <mergeCell ref="E7:E10"/>
    <mergeCell ref="F7:F10"/>
    <mergeCell ref="N7:N10"/>
    <mergeCell ref="H1:I1"/>
    <mergeCell ref="A6:N6"/>
    <mergeCell ref="F12:F15"/>
    <mergeCell ref="M1:N1"/>
    <mergeCell ref="A2:N2"/>
    <mergeCell ref="A3:A4"/>
    <mergeCell ref="B3:B4"/>
    <mergeCell ref="C3:C4"/>
    <mergeCell ref="N3:N4"/>
    <mergeCell ref="H3:M3"/>
    <mergeCell ref="A20:C20"/>
    <mergeCell ref="A19:B19"/>
    <mergeCell ref="C12:C15"/>
    <mergeCell ref="B12:B15"/>
    <mergeCell ref="A7:A10"/>
    <mergeCell ref="B7:B10"/>
    <mergeCell ref="A12:A1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17"/>
  <sheetViews>
    <sheetView view="pageBreakPreview" zoomScale="79" zoomScaleSheetLayoutView="79" zoomScalePageLayoutView="0" workbookViewId="0" topLeftCell="A1">
      <selection activeCell="A2" sqref="A2:Q2"/>
    </sheetView>
  </sheetViews>
  <sheetFormatPr defaultColWidth="9.00390625" defaultRowHeight="12.75"/>
  <cols>
    <col min="1" max="1" width="5.125" style="13" customWidth="1"/>
    <col min="2" max="2" width="43.37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102" customHeight="1">
      <c r="K1" s="9"/>
      <c r="L1" s="9"/>
      <c r="M1" s="253" t="s">
        <v>152</v>
      </c>
      <c r="N1" s="253"/>
      <c r="O1" s="253"/>
      <c r="P1" s="253"/>
      <c r="Q1" s="253"/>
    </row>
    <row r="2" spans="1:17" ht="34.5" customHeight="1">
      <c r="A2" s="254" t="s">
        <v>542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255"/>
      <c r="O2" s="255"/>
      <c r="P2" s="255"/>
      <c r="Q2" s="255"/>
    </row>
    <row r="3" spans="1:19" ht="17.25" customHeight="1">
      <c r="A3" s="260" t="s">
        <v>131</v>
      </c>
      <c r="B3" s="260" t="s">
        <v>126</v>
      </c>
      <c r="C3" s="260" t="s">
        <v>127</v>
      </c>
      <c r="D3" s="235" t="s">
        <v>160</v>
      </c>
      <c r="E3" s="235" t="s">
        <v>161</v>
      </c>
      <c r="F3" s="235" t="s">
        <v>156</v>
      </c>
      <c r="G3" s="264" t="s">
        <v>157</v>
      </c>
      <c r="H3" s="256" t="s">
        <v>162</v>
      </c>
      <c r="I3" s="260" t="s">
        <v>163</v>
      </c>
      <c r="J3" s="260" t="s">
        <v>164</v>
      </c>
      <c r="K3" s="261" t="s">
        <v>171</v>
      </c>
      <c r="L3" s="262"/>
      <c r="M3" s="268" t="s">
        <v>172</v>
      </c>
      <c r="N3" s="268"/>
      <c r="O3" s="268"/>
      <c r="P3" s="268"/>
      <c r="Q3" s="268"/>
      <c r="R3" s="268"/>
      <c r="S3" s="268"/>
    </row>
    <row r="4" spans="1:19" ht="33" customHeight="1">
      <c r="A4" s="260"/>
      <c r="B4" s="260"/>
      <c r="C4" s="260"/>
      <c r="D4" s="235"/>
      <c r="E4" s="235"/>
      <c r="F4" s="235"/>
      <c r="G4" s="265"/>
      <c r="H4" s="257"/>
      <c r="I4" s="260"/>
      <c r="J4" s="260"/>
      <c r="K4" s="10" t="s">
        <v>165</v>
      </c>
      <c r="L4" s="10" t="s">
        <v>166</v>
      </c>
      <c r="M4" s="224" t="s">
        <v>167</v>
      </c>
      <c r="N4" s="10" t="s">
        <v>168</v>
      </c>
      <c r="O4" s="10" t="s">
        <v>169</v>
      </c>
      <c r="P4" s="10" t="s">
        <v>170</v>
      </c>
      <c r="Q4" s="48" t="s">
        <v>214</v>
      </c>
      <c r="R4" s="48">
        <v>2024</v>
      </c>
      <c r="S4" s="48">
        <v>2025</v>
      </c>
    </row>
    <row r="5" spans="1:19" ht="32.25" customHeight="1">
      <c r="A5" s="258" t="s">
        <v>55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ht="79.5" customHeight="1">
      <c r="A6" s="10">
        <v>1</v>
      </c>
      <c r="B6" s="65" t="s">
        <v>402</v>
      </c>
      <c r="C6" s="14" t="s">
        <v>125</v>
      </c>
      <c r="D6" s="18">
        <v>54.1</v>
      </c>
      <c r="E6" s="41">
        <v>2.34</v>
      </c>
      <c r="F6" s="141">
        <f>(49650+5442+282531+928+1675+13302+20611+2334)/(410700-970)*100</f>
        <v>91.88</v>
      </c>
      <c r="G6" s="141">
        <f>(49650+5442+282531+928+1675+13302+20611+2334)/(410700-970)*100</f>
        <v>91.88</v>
      </c>
      <c r="H6" s="141">
        <v>92</v>
      </c>
      <c r="I6" s="141">
        <v>92.1</v>
      </c>
      <c r="J6" s="141">
        <v>92.2</v>
      </c>
      <c r="K6" s="141">
        <v>92.3</v>
      </c>
      <c r="L6" s="141">
        <v>92.4</v>
      </c>
      <c r="M6" s="141">
        <v>92.5</v>
      </c>
      <c r="N6" s="141">
        <v>92.6</v>
      </c>
      <c r="O6" s="141">
        <v>92.7</v>
      </c>
      <c r="P6" s="141">
        <v>92.8</v>
      </c>
      <c r="Q6" s="141">
        <v>92.9</v>
      </c>
      <c r="R6" s="141">
        <v>93</v>
      </c>
      <c r="S6" s="141">
        <v>100</v>
      </c>
    </row>
    <row r="7" spans="1:19" ht="189" customHeight="1">
      <c r="A7" s="11">
        <v>2</v>
      </c>
      <c r="B7" s="65" t="s">
        <v>77</v>
      </c>
      <c r="C7" s="14" t="s">
        <v>125</v>
      </c>
      <c r="D7" s="31" t="e">
        <f>#REF!</f>
        <v>#REF!</v>
      </c>
      <c r="E7" s="41">
        <v>60.5</v>
      </c>
      <c r="F7" s="14">
        <v>62.2</v>
      </c>
      <c r="G7" s="14">
        <v>71.26</v>
      </c>
      <c r="H7" s="14">
        <v>82.57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</row>
    <row r="8" spans="1:19" ht="129" customHeight="1">
      <c r="A8" s="10">
        <v>3</v>
      </c>
      <c r="B8" s="142" t="s">
        <v>78</v>
      </c>
      <c r="C8" s="31" t="s">
        <v>125</v>
      </c>
      <c r="D8" s="29">
        <v>95.6</v>
      </c>
      <c r="E8" s="40">
        <v>96.7</v>
      </c>
      <c r="F8" s="31">
        <v>1.96</v>
      </c>
      <c r="G8" s="31">
        <v>1.86</v>
      </c>
      <c r="H8" s="31">
        <v>1.82</v>
      </c>
      <c r="I8" s="31">
        <v>5.23</v>
      </c>
      <c r="J8" s="31">
        <v>5.21</v>
      </c>
      <c r="K8" s="31">
        <v>5.21</v>
      </c>
      <c r="L8" s="31">
        <v>5.21</v>
      </c>
      <c r="M8" s="31">
        <v>5</v>
      </c>
      <c r="N8" s="31">
        <v>4.9</v>
      </c>
      <c r="O8" s="31">
        <v>4.8</v>
      </c>
      <c r="P8" s="31">
        <v>4.7</v>
      </c>
      <c r="Q8" s="31">
        <v>4.6</v>
      </c>
      <c r="R8" s="31">
        <v>4.5</v>
      </c>
      <c r="S8" s="31">
        <v>4.5</v>
      </c>
    </row>
    <row r="9" spans="1:19" ht="133.5" customHeight="1">
      <c r="A9" s="10">
        <v>4</v>
      </c>
      <c r="B9" s="65" t="s">
        <v>212</v>
      </c>
      <c r="C9" s="14" t="s">
        <v>125</v>
      </c>
      <c r="D9" s="29"/>
      <c r="E9" s="40"/>
      <c r="F9" s="41">
        <v>7.69</v>
      </c>
      <c r="G9" s="41">
        <v>9.09</v>
      </c>
      <c r="H9" s="41">
        <v>18.2</v>
      </c>
      <c r="I9" s="41">
        <v>80.56</v>
      </c>
      <c r="J9" s="41">
        <v>81.87</v>
      </c>
      <c r="K9" s="41">
        <v>81.87</v>
      </c>
      <c r="L9" s="222">
        <v>81.87</v>
      </c>
      <c r="M9" s="222">
        <v>81.87</v>
      </c>
      <c r="N9" s="222">
        <v>81.87</v>
      </c>
      <c r="O9" s="222">
        <v>81.87</v>
      </c>
      <c r="P9" s="222">
        <v>81.87</v>
      </c>
      <c r="Q9" s="41">
        <v>83.18</v>
      </c>
      <c r="R9" s="41">
        <v>83.18</v>
      </c>
      <c r="S9" s="41">
        <v>83.18</v>
      </c>
    </row>
    <row r="10" spans="1:17" ht="59.25" customHeight="1">
      <c r="A10" s="263"/>
      <c r="B10" s="263"/>
      <c r="C10" s="263"/>
      <c r="D10" s="263"/>
      <c r="E10" s="263"/>
      <c r="F10" s="9"/>
      <c r="M10" s="266"/>
      <c r="N10" s="266"/>
      <c r="O10" s="266"/>
      <c r="P10" s="266"/>
      <c r="Q10" s="267"/>
    </row>
    <row r="15" spans="4:7" ht="15.75">
      <c r="D15" s="25"/>
      <c r="E15" s="25"/>
      <c r="F15" s="3"/>
      <c r="G15" s="25"/>
    </row>
    <row r="16" spans="4:7" ht="15.75">
      <c r="D16" s="26"/>
      <c r="E16" s="27"/>
      <c r="F16" s="23"/>
      <c r="G16" s="27"/>
    </row>
    <row r="17" spans="4:7" ht="15.75">
      <c r="D17" s="28"/>
      <c r="E17" s="28"/>
      <c r="F17" s="24"/>
      <c r="G17" s="28"/>
    </row>
  </sheetData>
  <sheetProtection/>
  <mergeCells count="17">
    <mergeCell ref="A10:E10"/>
    <mergeCell ref="A3:A4"/>
    <mergeCell ref="G3:G4"/>
    <mergeCell ref="M10:Q10"/>
    <mergeCell ref="C3:C4"/>
    <mergeCell ref="F3:F4"/>
    <mergeCell ref="B3:B4"/>
    <mergeCell ref="E3:E4"/>
    <mergeCell ref="M3:S3"/>
    <mergeCell ref="M1:Q1"/>
    <mergeCell ref="D3:D4"/>
    <mergeCell ref="A2:Q2"/>
    <mergeCell ref="H3:H4"/>
    <mergeCell ref="A5:S5"/>
    <mergeCell ref="I3:I4"/>
    <mergeCell ref="J3:J4"/>
    <mergeCell ref="K3:L3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68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45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:G5"/>
    </sheetView>
  </sheetViews>
  <sheetFormatPr defaultColWidth="9.00390625" defaultRowHeight="12.75"/>
  <cols>
    <col min="1" max="1" width="5.25390625" style="44" customWidth="1"/>
    <col min="2" max="2" width="53.875" style="44" customWidth="1"/>
    <col min="3" max="9" width="17.00390625" style="44" customWidth="1"/>
    <col min="10" max="16384" width="9.125" style="44" customWidth="1"/>
  </cols>
  <sheetData>
    <row r="1" spans="1:9" ht="70.5" customHeight="1">
      <c r="A1" s="34"/>
      <c r="B1" s="34"/>
      <c r="C1" s="34"/>
      <c r="E1" s="112"/>
      <c r="G1" s="279" t="s">
        <v>519</v>
      </c>
      <c r="H1" s="279"/>
      <c r="I1" s="279"/>
    </row>
    <row r="2" spans="1:9" ht="52.5" customHeight="1">
      <c r="A2" s="280" t="s">
        <v>94</v>
      </c>
      <c r="B2" s="280"/>
      <c r="C2" s="280"/>
      <c r="D2" s="280"/>
      <c r="E2" s="280"/>
      <c r="F2" s="280"/>
      <c r="G2" s="280"/>
      <c r="H2" s="280"/>
      <c r="I2" s="280"/>
    </row>
    <row r="3" spans="1:9" ht="26.25" customHeight="1">
      <c r="A3" s="273" t="s">
        <v>131</v>
      </c>
      <c r="B3" s="273" t="s">
        <v>154</v>
      </c>
      <c r="C3" s="273" t="s">
        <v>147</v>
      </c>
      <c r="D3" s="276" t="s">
        <v>175</v>
      </c>
      <c r="E3" s="277"/>
      <c r="F3" s="277"/>
      <c r="G3" s="277"/>
      <c r="H3" s="277"/>
      <c r="I3" s="278"/>
    </row>
    <row r="4" spans="1:9" ht="45.75" customHeight="1">
      <c r="A4" s="274"/>
      <c r="B4" s="274"/>
      <c r="C4" s="274"/>
      <c r="D4" s="264" t="s">
        <v>156</v>
      </c>
      <c r="E4" s="264" t="s">
        <v>157</v>
      </c>
      <c r="F4" s="264" t="s">
        <v>162</v>
      </c>
      <c r="G4" s="264" t="s">
        <v>163</v>
      </c>
      <c r="H4" s="264" t="s">
        <v>164</v>
      </c>
      <c r="I4" s="111" t="s">
        <v>391</v>
      </c>
    </row>
    <row r="5" spans="1:9" ht="20.25" customHeight="1">
      <c r="A5" s="275"/>
      <c r="B5" s="275"/>
      <c r="C5" s="275"/>
      <c r="D5" s="265"/>
      <c r="E5" s="265"/>
      <c r="F5" s="265"/>
      <c r="G5" s="265"/>
      <c r="H5" s="265"/>
      <c r="I5" s="50" t="s">
        <v>165</v>
      </c>
    </row>
    <row r="6" spans="1:9" ht="21" customHeight="1">
      <c r="A6" s="269" t="s">
        <v>35</v>
      </c>
      <c r="B6" s="270"/>
      <c r="C6" s="270"/>
      <c r="D6" s="270"/>
      <c r="E6" s="270"/>
      <c r="F6" s="270"/>
      <c r="G6" s="270"/>
      <c r="H6" s="270"/>
      <c r="I6" s="271"/>
    </row>
    <row r="7" spans="1:9" s="124" customFormat="1" ht="15.75">
      <c r="A7" s="123">
        <v>1</v>
      </c>
      <c r="B7" s="148" t="s">
        <v>93</v>
      </c>
      <c r="C7" s="122">
        <v>0</v>
      </c>
      <c r="D7" s="122">
        <v>0</v>
      </c>
      <c r="E7" s="122"/>
      <c r="F7" s="194">
        <v>103383.3</v>
      </c>
      <c r="G7" s="122">
        <f>G11+G10</f>
        <v>83928.5</v>
      </c>
      <c r="H7" s="122">
        <v>0</v>
      </c>
      <c r="I7" s="122">
        <v>0</v>
      </c>
    </row>
    <row r="8" spans="1:9" s="124" customFormat="1" ht="14.25" customHeight="1">
      <c r="A8" s="123"/>
      <c r="B8" s="125" t="s">
        <v>135</v>
      </c>
      <c r="C8" s="122">
        <v>0</v>
      </c>
      <c r="D8" s="122">
        <v>0</v>
      </c>
      <c r="E8" s="122"/>
      <c r="F8" s="122"/>
      <c r="G8" s="122">
        <v>0</v>
      </c>
      <c r="H8" s="122">
        <v>0</v>
      </c>
      <c r="I8" s="122">
        <v>0</v>
      </c>
    </row>
    <row r="9" spans="1:9" s="124" customFormat="1" ht="15.75" customHeight="1">
      <c r="A9" s="123"/>
      <c r="B9" s="125" t="s">
        <v>133</v>
      </c>
      <c r="C9" s="122">
        <v>0</v>
      </c>
      <c r="D9" s="122">
        <v>0</v>
      </c>
      <c r="E9" s="122"/>
      <c r="F9" s="122">
        <v>0</v>
      </c>
      <c r="G9" s="122">
        <v>0</v>
      </c>
      <c r="H9" s="122">
        <v>0</v>
      </c>
      <c r="I9" s="122">
        <v>0</v>
      </c>
    </row>
    <row r="10" spans="1:9" s="124" customFormat="1" ht="16.5" customHeight="1">
      <c r="A10" s="123"/>
      <c r="B10" s="125" t="s">
        <v>134</v>
      </c>
      <c r="C10" s="122">
        <v>0</v>
      </c>
      <c r="D10" s="122">
        <v>0</v>
      </c>
      <c r="E10" s="122"/>
      <c r="F10" s="194">
        <v>102866.4</v>
      </c>
      <c r="G10" s="122">
        <v>83271.8</v>
      </c>
      <c r="H10" s="122">
        <v>0</v>
      </c>
      <c r="I10" s="122">
        <v>0</v>
      </c>
    </row>
    <row r="11" spans="2:9" s="124" customFormat="1" ht="15.75">
      <c r="B11" s="125" t="s">
        <v>34</v>
      </c>
      <c r="C11" s="122">
        <v>0</v>
      </c>
      <c r="D11" s="122">
        <v>0</v>
      </c>
      <c r="E11" s="122"/>
      <c r="F11" s="194">
        <v>516.9</v>
      </c>
      <c r="G11" s="122">
        <v>656.7</v>
      </c>
      <c r="H11" s="122">
        <v>0</v>
      </c>
      <c r="I11" s="122">
        <v>0</v>
      </c>
    </row>
    <row r="12" spans="1:9" s="124" customFormat="1" ht="17.25" customHeight="1">
      <c r="A12" s="123"/>
      <c r="B12" s="125" t="s">
        <v>394</v>
      </c>
      <c r="C12" s="122">
        <v>0</v>
      </c>
      <c r="D12" s="122">
        <v>0</v>
      </c>
      <c r="E12" s="122"/>
      <c r="F12" s="122">
        <v>0</v>
      </c>
      <c r="G12" s="122">
        <v>0</v>
      </c>
      <c r="H12" s="122">
        <v>0</v>
      </c>
      <c r="I12" s="122">
        <v>0</v>
      </c>
    </row>
    <row r="13" spans="1:9" s="124" customFormat="1" ht="15.75">
      <c r="A13" s="123"/>
      <c r="B13" s="148"/>
      <c r="C13" s="122"/>
      <c r="D13" s="122"/>
      <c r="E13" s="122"/>
      <c r="F13" s="122"/>
      <c r="G13" s="122"/>
      <c r="H13" s="122"/>
      <c r="I13" s="122"/>
    </row>
    <row r="14" spans="1:9" s="124" customFormat="1" ht="15.75">
      <c r="A14" s="123"/>
      <c r="B14" s="125"/>
      <c r="C14" s="122"/>
      <c r="E14" s="122"/>
      <c r="F14" s="122"/>
      <c r="G14" s="122"/>
      <c r="H14" s="122"/>
      <c r="I14" s="122"/>
    </row>
    <row r="15" spans="1:9" ht="15.75" customHeight="1">
      <c r="A15" s="51"/>
      <c r="B15" s="53"/>
      <c r="C15" s="52"/>
      <c r="D15" s="52"/>
      <c r="E15" s="52"/>
      <c r="F15" s="52"/>
      <c r="G15" s="52"/>
      <c r="H15" s="52"/>
      <c r="I15" s="100"/>
    </row>
    <row r="16" spans="1:9" ht="14.25" customHeight="1">
      <c r="A16" s="51"/>
      <c r="B16" s="53"/>
      <c r="C16" s="52"/>
      <c r="D16" s="52"/>
      <c r="E16" s="52"/>
      <c r="F16" s="52"/>
      <c r="G16" s="52"/>
      <c r="H16" s="52"/>
      <c r="I16" s="100"/>
    </row>
    <row r="17" spans="1:8" ht="14.25" customHeight="1" hidden="1">
      <c r="A17" s="54"/>
      <c r="B17" s="55"/>
      <c r="C17" s="208" t="s">
        <v>159</v>
      </c>
      <c r="D17" s="56">
        <v>873445.6</v>
      </c>
      <c r="E17" s="56">
        <v>796955.7</v>
      </c>
      <c r="F17" s="56">
        <v>1129979.5</v>
      </c>
      <c r="G17" s="56">
        <v>2680746.2</v>
      </c>
      <c r="H17" s="57"/>
    </row>
    <row r="18" spans="1:8" ht="14.25" customHeight="1" hidden="1">
      <c r="A18" s="54"/>
      <c r="B18" s="55"/>
      <c r="C18" s="208" t="s">
        <v>158</v>
      </c>
      <c r="D18" s="56" t="e">
        <f>D17-#REF!</f>
        <v>#REF!</v>
      </c>
      <c r="E18" s="56" t="e">
        <f>E17-#REF!</f>
        <v>#REF!</v>
      </c>
      <c r="F18" s="56" t="e">
        <f>F17-#REF!</f>
        <v>#REF!</v>
      </c>
      <c r="G18" s="56" t="e">
        <f>G17-#REF!</f>
        <v>#REF!</v>
      </c>
      <c r="H18" s="57"/>
    </row>
    <row r="19" spans="1:9" ht="49.5" customHeight="1">
      <c r="A19" s="43"/>
      <c r="D19" s="45"/>
      <c r="E19" s="45"/>
      <c r="H19" s="272"/>
      <c r="I19" s="272"/>
    </row>
    <row r="20" spans="1:4" ht="15.75">
      <c r="A20" s="58"/>
      <c r="B20" s="33"/>
      <c r="C20" s="34"/>
      <c r="D20" s="34"/>
    </row>
    <row r="21" spans="1:4" ht="15.75">
      <c r="A21" s="34"/>
      <c r="B21" s="33"/>
      <c r="C21" s="34"/>
      <c r="D21" s="34"/>
    </row>
    <row r="22" spans="2:4" ht="15.75">
      <c r="B22" s="33"/>
      <c r="C22" s="34"/>
      <c r="D22" s="34"/>
    </row>
    <row r="23" spans="1:4" ht="15.75">
      <c r="A23" s="34"/>
      <c r="B23" s="33"/>
      <c r="C23" s="34"/>
      <c r="D23" s="34"/>
    </row>
    <row r="24" ht="15.75">
      <c r="B24" s="33"/>
    </row>
    <row r="25" ht="15.75">
      <c r="B25" s="33"/>
    </row>
    <row r="26" ht="15.75">
      <c r="B26" s="33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3"/>
    </row>
  </sheetData>
  <sheetProtection/>
  <autoFilter ref="A5:I5"/>
  <mergeCells count="13">
    <mergeCell ref="H4:H5"/>
    <mergeCell ref="G1:I1"/>
    <mergeCell ref="A2:I2"/>
    <mergeCell ref="A6:I6"/>
    <mergeCell ref="H19:I19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94" zoomScaleSheetLayoutView="94" zoomScalePageLayoutView="0" workbookViewId="0" topLeftCell="A1">
      <selection activeCell="I1" sqref="I1:M1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2" width="15.375" style="1" customWidth="1"/>
    <col min="13" max="13" width="17.00390625" style="1" customWidth="1"/>
    <col min="14" max="14" width="13.75390625" style="1" bestFit="1" customWidth="1"/>
    <col min="15" max="16384" width="9.125" style="1" customWidth="1"/>
  </cols>
  <sheetData>
    <row r="1" spans="8:13" ht="87.75" customHeight="1">
      <c r="H1" s="207"/>
      <c r="I1" s="282" t="s">
        <v>535</v>
      </c>
      <c r="J1" s="283"/>
      <c r="K1" s="283"/>
      <c r="L1" s="283"/>
      <c r="M1" s="283"/>
    </row>
    <row r="2" spans="1:13" ht="41.25" customHeight="1">
      <c r="A2" s="286" t="s">
        <v>543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8.75" customHeight="1">
      <c r="A3" s="235" t="s">
        <v>383</v>
      </c>
      <c r="B3" s="235" t="s">
        <v>218</v>
      </c>
      <c r="C3" s="235" t="s">
        <v>219</v>
      </c>
      <c r="D3" s="235" t="s">
        <v>220</v>
      </c>
      <c r="E3" s="235"/>
      <c r="F3" s="235"/>
      <c r="G3" s="235"/>
      <c r="H3" s="235" t="s">
        <v>225</v>
      </c>
      <c r="I3" s="235"/>
      <c r="J3" s="235"/>
      <c r="K3" s="235"/>
      <c r="L3" s="235"/>
      <c r="M3" s="235"/>
    </row>
    <row r="4" spans="1:13" ht="31.5">
      <c r="A4" s="235"/>
      <c r="B4" s="235"/>
      <c r="C4" s="235"/>
      <c r="D4" s="11" t="s">
        <v>221</v>
      </c>
      <c r="E4" s="11" t="s">
        <v>222</v>
      </c>
      <c r="F4" s="11" t="s">
        <v>223</v>
      </c>
      <c r="G4" s="11" t="s">
        <v>224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226</v>
      </c>
    </row>
    <row r="5" spans="1:16" ht="48" customHeight="1">
      <c r="A5" s="284" t="s">
        <v>79</v>
      </c>
      <c r="B5" s="284" t="s">
        <v>80</v>
      </c>
      <c r="C5" s="87" t="s">
        <v>227</v>
      </c>
      <c r="D5" s="14" t="s">
        <v>228</v>
      </c>
      <c r="E5" s="14" t="s">
        <v>228</v>
      </c>
      <c r="F5" s="14" t="s">
        <v>228</v>
      </c>
      <c r="G5" s="14" t="s">
        <v>228</v>
      </c>
      <c r="H5" s="158">
        <f>H11+H17+H20+H25</f>
        <v>299406.7</v>
      </c>
      <c r="I5" s="158">
        <f>I11+I17+I20+I25</f>
        <v>277118.43</v>
      </c>
      <c r="J5" s="158">
        <f>J11+J17+J20+J25</f>
        <v>219329</v>
      </c>
      <c r="K5" s="158">
        <f>K11+K17+K20+K25</f>
        <v>218111.1</v>
      </c>
      <c r="L5" s="158">
        <f>L11+L17+L20+L25</f>
        <v>218111.1</v>
      </c>
      <c r="M5" s="158">
        <f>SUM(H5:L5)</f>
        <v>1232076.33</v>
      </c>
      <c r="N5" s="207">
        <f>N7+N8</f>
        <v>84454.96</v>
      </c>
      <c r="P5" s="1">
        <f>306.6+128.1+72.69+19.1</f>
        <v>526.49</v>
      </c>
    </row>
    <row r="6" spans="1:16" ht="15.75">
      <c r="A6" s="285"/>
      <c r="B6" s="285"/>
      <c r="C6" s="87" t="s">
        <v>229</v>
      </c>
      <c r="D6" s="32"/>
      <c r="E6" s="32"/>
      <c r="F6" s="32"/>
      <c r="G6" s="32"/>
      <c r="H6" s="158"/>
      <c r="I6" s="158"/>
      <c r="J6" s="158"/>
      <c r="K6" s="158"/>
      <c r="L6" s="158"/>
      <c r="M6" s="158">
        <f aca="true" t="shared" si="0" ref="M6:M27">SUM(H6:L6)</f>
        <v>0</v>
      </c>
      <c r="P6" s="207">
        <f>P5-N13</f>
        <v>0.87</v>
      </c>
    </row>
    <row r="7" spans="1:15" ht="62.25" customHeight="1">
      <c r="A7" s="285"/>
      <c r="B7" s="285"/>
      <c r="C7" s="11" t="s">
        <v>91</v>
      </c>
      <c r="D7" s="36" t="s">
        <v>38</v>
      </c>
      <c r="E7" s="14" t="s">
        <v>228</v>
      </c>
      <c r="F7" s="14" t="s">
        <v>228</v>
      </c>
      <c r="G7" s="14" t="s">
        <v>228</v>
      </c>
      <c r="H7" s="158">
        <f>H13+H19+H22+H27</f>
        <v>176379.93</v>
      </c>
      <c r="I7" s="158">
        <f>I13+I19+I22+I27</f>
        <v>192028.16</v>
      </c>
      <c r="J7" s="158">
        <f>J13+J19+J22+J27</f>
        <v>219179</v>
      </c>
      <c r="K7" s="158">
        <f>K13+K19+K22+K27</f>
        <v>217961.1</v>
      </c>
      <c r="L7" s="158">
        <f>L13+L19+L22+L27</f>
        <v>217961.1</v>
      </c>
      <c r="M7" s="158">
        <f t="shared" si="0"/>
        <v>1023509.29</v>
      </c>
      <c r="N7" s="161">
        <f>I7-191501.67</f>
        <v>526.49</v>
      </c>
      <c r="O7" s="161"/>
    </row>
    <row r="8" spans="1:14" ht="62.25" customHeight="1">
      <c r="A8" s="285"/>
      <c r="B8" s="285"/>
      <c r="C8" s="11" t="s">
        <v>41</v>
      </c>
      <c r="D8" s="36" t="s">
        <v>288</v>
      </c>
      <c r="E8" s="14" t="s">
        <v>228</v>
      </c>
      <c r="F8" s="14" t="s">
        <v>228</v>
      </c>
      <c r="G8" s="14" t="s">
        <v>228</v>
      </c>
      <c r="H8" s="158">
        <f>H14+H24</f>
        <v>114330.27</v>
      </c>
      <c r="I8" s="158">
        <f>I14+I24</f>
        <v>84940.27</v>
      </c>
      <c r="J8" s="158">
        <f>J14+J24</f>
        <v>0</v>
      </c>
      <c r="K8" s="158">
        <f>K14+K24</f>
        <v>0</v>
      </c>
      <c r="L8" s="158">
        <f>L14+L24</f>
        <v>0</v>
      </c>
      <c r="M8" s="158">
        <f t="shared" si="0"/>
        <v>199270.54</v>
      </c>
      <c r="N8" s="207">
        <f>N14</f>
        <v>83928.47</v>
      </c>
    </row>
    <row r="9" spans="1:13" ht="62.25" customHeight="1">
      <c r="A9" s="285"/>
      <c r="B9" s="285"/>
      <c r="C9" s="11" t="s">
        <v>64</v>
      </c>
      <c r="D9" s="36" t="s">
        <v>187</v>
      </c>
      <c r="E9" s="14" t="s">
        <v>228</v>
      </c>
      <c r="F9" s="14" t="s">
        <v>228</v>
      </c>
      <c r="G9" s="14" t="s">
        <v>228</v>
      </c>
      <c r="H9" s="158">
        <f>H15+H23</f>
        <v>8696.5</v>
      </c>
      <c r="I9" s="158">
        <f>I15+I23</f>
        <v>150</v>
      </c>
      <c r="J9" s="158">
        <f>J15+J23</f>
        <v>150</v>
      </c>
      <c r="K9" s="158">
        <f>K15+K23</f>
        <v>150</v>
      </c>
      <c r="L9" s="158">
        <f>L15+L23</f>
        <v>150</v>
      </c>
      <c r="M9" s="158">
        <f t="shared" si="0"/>
        <v>9296.5</v>
      </c>
    </row>
    <row r="10" spans="1:13" ht="15.75" customHeight="1">
      <c r="A10" s="285"/>
      <c r="B10" s="285"/>
      <c r="C10" s="11"/>
      <c r="D10" s="88"/>
      <c r="E10" s="14" t="s">
        <v>228</v>
      </c>
      <c r="F10" s="14" t="s">
        <v>228</v>
      </c>
      <c r="G10" s="14" t="s">
        <v>228</v>
      </c>
      <c r="H10" s="158"/>
      <c r="I10" s="158"/>
      <c r="J10" s="158"/>
      <c r="K10" s="158"/>
      <c r="L10" s="158"/>
      <c r="M10" s="158">
        <f t="shared" si="0"/>
        <v>0</v>
      </c>
    </row>
    <row r="11" spans="1:13" ht="47.25">
      <c r="A11" s="281" t="s">
        <v>230</v>
      </c>
      <c r="B11" s="281" t="s">
        <v>95</v>
      </c>
      <c r="C11" s="87" t="s">
        <v>227</v>
      </c>
      <c r="D11" s="14" t="s">
        <v>228</v>
      </c>
      <c r="E11" s="14" t="s">
        <v>228</v>
      </c>
      <c r="F11" s="14" t="s">
        <v>228</v>
      </c>
      <c r="G11" s="14" t="s">
        <v>228</v>
      </c>
      <c r="H11" s="158">
        <f>H13+H14+H15</f>
        <v>287773.78</v>
      </c>
      <c r="I11" s="158">
        <f>I13+I14+I15</f>
        <v>268317.17</v>
      </c>
      <c r="J11" s="158">
        <f>J13+J14+J15</f>
        <v>210364.8</v>
      </c>
      <c r="K11" s="158">
        <f>K13+K14+K15</f>
        <v>209146.9</v>
      </c>
      <c r="L11" s="158">
        <f>L13+L14+L15</f>
        <v>209146.9</v>
      </c>
      <c r="M11" s="158">
        <f t="shared" si="0"/>
        <v>1184749.55</v>
      </c>
    </row>
    <row r="12" spans="1:13" ht="15.75">
      <c r="A12" s="281"/>
      <c r="B12" s="281"/>
      <c r="C12" s="87" t="s">
        <v>229</v>
      </c>
      <c r="D12" s="32"/>
      <c r="E12" s="32"/>
      <c r="F12" s="32"/>
      <c r="G12" s="32"/>
      <c r="H12" s="158"/>
      <c r="I12" s="158"/>
      <c r="J12" s="158"/>
      <c r="K12" s="158"/>
      <c r="L12" s="158"/>
      <c r="M12" s="158">
        <f t="shared" si="0"/>
        <v>0</v>
      </c>
    </row>
    <row r="13" spans="1:14" ht="65.25" customHeight="1">
      <c r="A13" s="281"/>
      <c r="B13" s="281"/>
      <c r="C13" s="11" t="s">
        <v>91</v>
      </c>
      <c r="D13" s="36" t="s">
        <v>38</v>
      </c>
      <c r="E13" s="14" t="s">
        <v>228</v>
      </c>
      <c r="F13" s="14" t="s">
        <v>228</v>
      </c>
      <c r="G13" s="14" t="s">
        <v>228</v>
      </c>
      <c r="H13" s="158">
        <f>'Мероприятия подпрограммы 1'!H104</f>
        <v>169243.41</v>
      </c>
      <c r="I13" s="158">
        <f>'Мероприятия подпрограммы 1'!I104</f>
        <v>184388.7</v>
      </c>
      <c r="J13" s="158">
        <f>'Мероприятия подпрограммы 1'!J104</f>
        <v>210364.8</v>
      </c>
      <c r="K13" s="158">
        <f>'Мероприятия подпрограммы 1'!K104</f>
        <v>209146.9</v>
      </c>
      <c r="L13" s="158">
        <f>'Мероприятия подпрограммы 1'!L104</f>
        <v>209146.9</v>
      </c>
      <c r="M13" s="158">
        <f t="shared" si="0"/>
        <v>982290.71</v>
      </c>
      <c r="N13" s="161">
        <f>I13-183863.08</f>
        <v>525.62</v>
      </c>
    </row>
    <row r="14" spans="1:15" ht="65.25" customHeight="1">
      <c r="A14" s="281"/>
      <c r="B14" s="281"/>
      <c r="C14" s="11" t="s">
        <v>41</v>
      </c>
      <c r="D14" s="88" t="s">
        <v>288</v>
      </c>
      <c r="E14" s="14" t="s">
        <v>228</v>
      </c>
      <c r="F14" s="14" t="s">
        <v>228</v>
      </c>
      <c r="G14" s="14" t="s">
        <v>228</v>
      </c>
      <c r="H14" s="158">
        <f>'Мероприятия подпрограммы 1'!H105</f>
        <v>109833.87</v>
      </c>
      <c r="I14" s="158">
        <f>'Мероприятия подпрограммы 1'!I105</f>
        <v>83928.47</v>
      </c>
      <c r="J14" s="158">
        <f>'Мероприятия подпрограммы 1'!J105</f>
        <v>0</v>
      </c>
      <c r="K14" s="158">
        <f>'Мероприятия подпрограммы 1'!K105</f>
        <v>0</v>
      </c>
      <c r="L14" s="158">
        <f>'Мероприятия подпрограммы 1'!L105</f>
        <v>0</v>
      </c>
      <c r="M14" s="158">
        <f t="shared" si="0"/>
        <v>193762.34</v>
      </c>
      <c r="N14" s="207">
        <f>I14-0</f>
        <v>83928.47</v>
      </c>
      <c r="O14" s="1">
        <f>83271.82+656.65</f>
        <v>83928.47</v>
      </c>
    </row>
    <row r="15" spans="1:13" ht="65.25" customHeight="1">
      <c r="A15" s="281"/>
      <c r="B15" s="281"/>
      <c r="C15" s="11" t="s">
        <v>64</v>
      </c>
      <c r="D15" s="14">
        <v>149</v>
      </c>
      <c r="E15" s="14" t="s">
        <v>228</v>
      </c>
      <c r="F15" s="14" t="s">
        <v>228</v>
      </c>
      <c r="G15" s="14" t="s">
        <v>228</v>
      </c>
      <c r="H15" s="158">
        <f>'Мероприятия подпрограммы 1'!H106</f>
        <v>8696.5</v>
      </c>
      <c r="I15" s="158">
        <f>'Мероприятия подпрограммы 1'!I106</f>
        <v>0</v>
      </c>
      <c r="J15" s="158">
        <f>'Мероприятия подпрограммы 1'!J106</f>
        <v>0</v>
      </c>
      <c r="K15" s="158">
        <f>'Мероприятия подпрограммы 1'!K106</f>
        <v>0</v>
      </c>
      <c r="L15" s="158">
        <f>'Мероприятия подпрограммы 1'!L106</f>
        <v>0</v>
      </c>
      <c r="M15" s="158">
        <f t="shared" si="0"/>
        <v>8696.5</v>
      </c>
    </row>
    <row r="16" spans="1:13" ht="17.25" customHeight="1">
      <c r="A16" s="281"/>
      <c r="B16" s="281"/>
      <c r="C16" s="11"/>
      <c r="D16" s="36"/>
      <c r="E16" s="14" t="s">
        <v>228</v>
      </c>
      <c r="F16" s="14" t="s">
        <v>228</v>
      </c>
      <c r="G16" s="14" t="s">
        <v>228</v>
      </c>
      <c r="H16" s="158"/>
      <c r="I16" s="158"/>
      <c r="J16" s="158"/>
      <c r="K16" s="158"/>
      <c r="L16" s="158"/>
      <c r="M16" s="158">
        <f t="shared" si="0"/>
        <v>0</v>
      </c>
    </row>
    <row r="17" spans="1:13" ht="47.25">
      <c r="A17" s="281" t="s">
        <v>233</v>
      </c>
      <c r="B17" s="281" t="s">
        <v>237</v>
      </c>
      <c r="C17" s="87" t="s">
        <v>227</v>
      </c>
      <c r="D17" s="14" t="s">
        <v>228</v>
      </c>
      <c r="E17" s="14" t="s">
        <v>228</v>
      </c>
      <c r="F17" s="14" t="s">
        <v>228</v>
      </c>
      <c r="G17" s="14" t="s">
        <v>228</v>
      </c>
      <c r="H17" s="158">
        <f>H19</f>
        <v>75.1</v>
      </c>
      <c r="I17" s="158">
        <f>I19</f>
        <v>120</v>
      </c>
      <c r="J17" s="158">
        <f>J19</f>
        <v>150</v>
      </c>
      <c r="K17" s="158">
        <f>K19</f>
        <v>150</v>
      </c>
      <c r="L17" s="158">
        <f>L19</f>
        <v>150</v>
      </c>
      <c r="M17" s="158">
        <f t="shared" si="0"/>
        <v>645.1</v>
      </c>
    </row>
    <row r="18" spans="1:13" ht="15.75">
      <c r="A18" s="281"/>
      <c r="B18" s="281"/>
      <c r="C18" s="87" t="s">
        <v>229</v>
      </c>
      <c r="D18" s="32"/>
      <c r="E18" s="32"/>
      <c r="F18" s="32"/>
      <c r="G18" s="32"/>
      <c r="H18" s="158"/>
      <c r="I18" s="158"/>
      <c r="J18" s="158"/>
      <c r="K18" s="158"/>
      <c r="L18" s="158"/>
      <c r="M18" s="158">
        <f t="shared" si="0"/>
        <v>0</v>
      </c>
    </row>
    <row r="19" spans="1:13" ht="51.75" customHeight="1">
      <c r="A19" s="281"/>
      <c r="B19" s="281"/>
      <c r="C19" s="11" t="s">
        <v>91</v>
      </c>
      <c r="D19" s="36" t="s">
        <v>38</v>
      </c>
      <c r="E19" s="14" t="s">
        <v>228</v>
      </c>
      <c r="F19" s="14" t="s">
        <v>228</v>
      </c>
      <c r="G19" s="14" t="s">
        <v>228</v>
      </c>
      <c r="H19" s="158">
        <f>'!!!Мероприятия подпрограммы 2'!H27</f>
        <v>75.1</v>
      </c>
      <c r="I19" s="158">
        <f>'!!!Мероприятия подпрограммы 2'!I27</f>
        <v>120</v>
      </c>
      <c r="J19" s="158">
        <f>'!!!Мероприятия подпрограммы 2'!J27</f>
        <v>150</v>
      </c>
      <c r="K19" s="158">
        <f>'!!!Мероприятия подпрограммы 2'!K27</f>
        <v>150</v>
      </c>
      <c r="L19" s="158">
        <f>'!!!Мероприятия подпрограммы 2'!L27</f>
        <v>150</v>
      </c>
      <c r="M19" s="158">
        <f t="shared" si="0"/>
        <v>645.1</v>
      </c>
    </row>
    <row r="20" spans="1:13" ht="47.25">
      <c r="A20" s="281" t="s">
        <v>234</v>
      </c>
      <c r="B20" s="281" t="s">
        <v>478</v>
      </c>
      <c r="C20" s="87" t="s">
        <v>227</v>
      </c>
      <c r="D20" s="14" t="s">
        <v>228</v>
      </c>
      <c r="E20" s="14" t="s">
        <v>228</v>
      </c>
      <c r="F20" s="14" t="s">
        <v>228</v>
      </c>
      <c r="G20" s="14" t="s">
        <v>228</v>
      </c>
      <c r="H20" s="158">
        <f>SUM(H22:H24)</f>
        <v>5419.4</v>
      </c>
      <c r="I20" s="158">
        <f>SUM(I22:I24)</f>
        <v>2237.4</v>
      </c>
      <c r="J20" s="158">
        <f>SUM(J22:J24)</f>
        <v>1231.8</v>
      </c>
      <c r="K20" s="158">
        <f>SUM(K22:K24)</f>
        <v>1231.8</v>
      </c>
      <c r="L20" s="158">
        <f>SUM(L22:L24)</f>
        <v>1231.8</v>
      </c>
      <c r="M20" s="158">
        <f t="shared" si="0"/>
        <v>11352.2</v>
      </c>
    </row>
    <row r="21" spans="1:13" ht="15.75">
      <c r="A21" s="281"/>
      <c r="B21" s="281"/>
      <c r="C21" s="87" t="s">
        <v>229</v>
      </c>
      <c r="D21" s="32"/>
      <c r="E21" s="32"/>
      <c r="F21" s="32"/>
      <c r="G21" s="32"/>
      <c r="H21" s="158"/>
      <c r="I21" s="158"/>
      <c r="J21" s="158"/>
      <c r="K21" s="158"/>
      <c r="L21" s="158"/>
      <c r="M21" s="158">
        <f t="shared" si="0"/>
        <v>0</v>
      </c>
    </row>
    <row r="22" spans="1:13" ht="64.5" customHeight="1">
      <c r="A22" s="281"/>
      <c r="B22" s="281"/>
      <c r="C22" s="11" t="s">
        <v>91</v>
      </c>
      <c r="D22" s="14">
        <v>137</v>
      </c>
      <c r="E22" s="14" t="s">
        <v>228</v>
      </c>
      <c r="F22" s="14" t="s">
        <v>228</v>
      </c>
      <c r="G22" s="14" t="s">
        <v>228</v>
      </c>
      <c r="H22" s="158">
        <f>'!!!Мероприятия подпрограммы 3'!H31+'!!!Мероприятия подпрограммы 3'!H30+'!!!Мероприятия подпрограммы 3'!H29+'!!!Мероприятия подпрограммы 3'!H10+'!!!Мероприятия подпрограммы 3'!H9+'!!!Мероприятия подпрограммы 3'!H8+'!!!Мероприятия подпрограммы 3'!H7</f>
        <v>923</v>
      </c>
      <c r="I22" s="158">
        <f>'!!!Мероприятия подпрограммы 3'!I31+'!!!Мероприятия подпрограммы 3'!I30+'!!!Мероприятия подпрограммы 3'!I29+'!!!Мероприятия подпрограммы 3'!I10+'!!!Мероприятия подпрограммы 3'!I9+'!!!Мероприятия подпрограммы 3'!I8+'!!!Мероприятия подпрограммы 3'!I7</f>
        <v>1075.6</v>
      </c>
      <c r="J22" s="158">
        <f>'!!!Мероприятия подпрограммы 3'!J31+'!!!Мероприятия подпрограммы 3'!J30+'!!!Мероприятия подпрограммы 3'!J29+'!!!Мероприятия подпрограммы 3'!J10+'!!!Мероприятия подпрограммы 3'!J9+'!!!Мероприятия подпрограммы 3'!J8+'!!!Мероприятия подпрограммы 3'!J7</f>
        <v>1081.8</v>
      </c>
      <c r="K22" s="158">
        <f>'!!!Мероприятия подпрограммы 3'!K31+'!!!Мероприятия подпрограммы 3'!K30+'!!!Мероприятия подпрограммы 3'!K29+'!!!Мероприятия подпрограммы 3'!K10+'!!!Мероприятия подпрограммы 3'!K9+'!!!Мероприятия подпрограммы 3'!K8+'!!!Мероприятия подпрограммы 3'!K7</f>
        <v>1081.8</v>
      </c>
      <c r="L22" s="158">
        <f>'!!!Мероприятия подпрограммы 3'!L31+'!!!Мероприятия подпрограммы 3'!L30+'!!!Мероприятия подпрограммы 3'!L29+'!!!Мероприятия подпрограммы 3'!L10+'!!!Мероприятия подпрограммы 3'!L9+'!!!Мероприятия подпрограммы 3'!L8+'!!!Мероприятия подпрограммы 3'!L7</f>
        <v>1081.8</v>
      </c>
      <c r="M22" s="158">
        <f t="shared" si="0"/>
        <v>5244</v>
      </c>
    </row>
    <row r="23" spans="1:13" ht="64.5" customHeight="1">
      <c r="A23" s="281"/>
      <c r="B23" s="281"/>
      <c r="C23" s="11" t="s">
        <v>64</v>
      </c>
      <c r="D23" s="14">
        <v>149</v>
      </c>
      <c r="E23" s="14" t="s">
        <v>228</v>
      </c>
      <c r="F23" s="14" t="s">
        <v>228</v>
      </c>
      <c r="G23" s="14" t="s">
        <v>228</v>
      </c>
      <c r="H23" s="158">
        <f>'!!!Мероприятия подпрограммы 3'!H19</f>
        <v>0</v>
      </c>
      <c r="I23" s="158">
        <f>'!!!Мероприятия подпрограммы 3'!I19</f>
        <v>150</v>
      </c>
      <c r="J23" s="158">
        <f>'!!!Мероприятия подпрограммы 3'!J19</f>
        <v>150</v>
      </c>
      <c r="K23" s="158">
        <f>'!!!Мероприятия подпрограммы 3'!K19</f>
        <v>150</v>
      </c>
      <c r="L23" s="158">
        <f>'!!!Мероприятия подпрограммы 3'!L19</f>
        <v>150</v>
      </c>
      <c r="M23" s="158">
        <f t="shared" si="0"/>
        <v>600</v>
      </c>
    </row>
    <row r="24" spans="1:13" ht="64.5" customHeight="1">
      <c r="A24" s="281"/>
      <c r="B24" s="281"/>
      <c r="C24" s="11" t="s">
        <v>41</v>
      </c>
      <c r="D24" s="36" t="s">
        <v>288</v>
      </c>
      <c r="E24" s="14" t="s">
        <v>228</v>
      </c>
      <c r="F24" s="14" t="s">
        <v>228</v>
      </c>
      <c r="G24" s="14" t="s">
        <v>228</v>
      </c>
      <c r="H24" s="158">
        <f>'!!!Мероприятия подпрограммы 3'!H28+'!!!Мероприятия подпрограммы 3'!H25+'!!!Мероприятия подпрограммы 3'!H24+'!!!Мероприятия подпрограммы 3'!H23+'!!!Мероприятия подпрограммы 3'!H20+'!!!Мероприятия подпрограммы 3'!H16+'!!!Мероприятия подпрограммы 3'!H15+'!!!Мероприятия подпрограммы 3'!H14+'!!!Мероприятия подпрограммы 3'!H11</f>
        <v>4496.4</v>
      </c>
      <c r="I24" s="158">
        <f>'!!!Мероприятия подпрограммы 3'!I28+'!!!Мероприятия подпрограммы 3'!I25+'!!!Мероприятия подпрограммы 3'!I24+'!!!Мероприятия подпрограммы 3'!I23+'!!!Мероприятия подпрограммы 3'!I20+'!!!Мероприятия подпрограммы 3'!I16+'!!!Мероприятия подпрограммы 3'!I15+'!!!Мероприятия подпрограммы 3'!I14+'!!!Мероприятия подпрограммы 3'!I11</f>
        <v>1011.8</v>
      </c>
      <c r="J24" s="158">
        <f>'!!!Мероприятия подпрограммы 3'!J28+'!!!Мероприятия подпрограммы 3'!J25+'!!!Мероприятия подпрограммы 3'!J24+'!!!Мероприятия подпрограммы 3'!J23+'!!!Мероприятия подпрограммы 3'!J20+'!!!Мероприятия подпрограммы 3'!J16+'!!!Мероприятия подпрограммы 3'!J15+'!!!Мероприятия подпрограммы 3'!J14+'!!!Мероприятия подпрограммы 3'!J11</f>
        <v>0</v>
      </c>
      <c r="K24" s="158">
        <f>'!!!Мероприятия подпрограммы 3'!K28+'!!!Мероприятия подпрограммы 3'!K25+'!!!Мероприятия подпрограммы 3'!K24+'!!!Мероприятия подпрограммы 3'!K23+'!!!Мероприятия подпрограммы 3'!K20+'!!!Мероприятия подпрограммы 3'!K16+'!!!Мероприятия подпрограммы 3'!K15+'!!!Мероприятия подпрограммы 3'!K14+'!!!Мероприятия подпрограммы 3'!K11</f>
        <v>0</v>
      </c>
      <c r="L24" s="158">
        <f>'!!!Мероприятия подпрограммы 3'!L28+'!!!Мероприятия подпрограммы 3'!L25+'!!!Мероприятия подпрограммы 3'!L24+'!!!Мероприятия подпрограммы 3'!L23+'!!!Мероприятия подпрограммы 3'!L20+'!!!Мероприятия подпрограммы 3'!L16+'!!!Мероприятия подпрограммы 3'!L15+'!!!Мероприятия подпрограммы 3'!L14+'!!!Мероприятия подпрограммы 3'!L11</f>
        <v>0</v>
      </c>
      <c r="M24" s="158">
        <f t="shared" si="0"/>
        <v>5508.2</v>
      </c>
    </row>
    <row r="25" spans="1:13" ht="47.25">
      <c r="A25" s="281" t="s">
        <v>235</v>
      </c>
      <c r="B25" s="281" t="s">
        <v>407</v>
      </c>
      <c r="C25" s="87" t="s">
        <v>227</v>
      </c>
      <c r="D25" s="14" t="s">
        <v>228</v>
      </c>
      <c r="E25" s="14" t="s">
        <v>228</v>
      </c>
      <c r="F25" s="14" t="s">
        <v>228</v>
      </c>
      <c r="G25" s="14" t="s">
        <v>228</v>
      </c>
      <c r="H25" s="158">
        <f>'!!!Мероприятия подпрограммы 4'!H19</f>
        <v>6138.42</v>
      </c>
      <c r="I25" s="158">
        <f>'!!!Мероприятия подпрограммы 4'!I19</f>
        <v>6443.86</v>
      </c>
      <c r="J25" s="158">
        <f>'!!!Мероприятия подпрограммы 4'!J19</f>
        <v>7582.4</v>
      </c>
      <c r="K25" s="158">
        <f>'!!!Мероприятия подпрограммы 4'!K19</f>
        <v>7582.4</v>
      </c>
      <c r="L25" s="158">
        <f>'!!!Мероприятия подпрограммы 4'!L19</f>
        <v>7582.4</v>
      </c>
      <c r="M25" s="158">
        <f t="shared" si="0"/>
        <v>35329.48</v>
      </c>
    </row>
    <row r="26" spans="1:13" ht="15.75">
      <c r="A26" s="281"/>
      <c r="B26" s="281"/>
      <c r="C26" s="87" t="s">
        <v>229</v>
      </c>
      <c r="D26" s="32"/>
      <c r="E26" s="32"/>
      <c r="F26" s="32"/>
      <c r="G26" s="32"/>
      <c r="H26" s="158"/>
      <c r="I26" s="158"/>
      <c r="J26" s="158"/>
      <c r="K26" s="158"/>
      <c r="L26" s="158"/>
      <c r="M26" s="158">
        <f t="shared" si="0"/>
        <v>0</v>
      </c>
    </row>
    <row r="27" spans="1:14" ht="56.25" customHeight="1">
      <c r="A27" s="281"/>
      <c r="B27" s="281"/>
      <c r="C27" s="11" t="s">
        <v>45</v>
      </c>
      <c r="D27" s="36" t="s">
        <v>38</v>
      </c>
      <c r="E27" s="14" t="s">
        <v>228</v>
      </c>
      <c r="F27" s="14" t="s">
        <v>228</v>
      </c>
      <c r="G27" s="14" t="s">
        <v>228</v>
      </c>
      <c r="H27" s="158">
        <f>'!!!Мероприятия подпрограммы 4'!H19</f>
        <v>6138.42</v>
      </c>
      <c r="I27" s="158">
        <f>'!!!Мероприятия подпрограммы 4'!I19</f>
        <v>6443.86</v>
      </c>
      <c r="J27" s="158">
        <f>'!!!Мероприятия подпрограммы 4'!J19</f>
        <v>7582.4</v>
      </c>
      <c r="K27" s="158">
        <f>'!!!Мероприятия подпрограммы 4'!K19</f>
        <v>7582.4</v>
      </c>
      <c r="L27" s="158">
        <f>'!!!Мероприятия подпрограммы 4'!L19</f>
        <v>7582.4</v>
      </c>
      <c r="M27" s="158">
        <f t="shared" si="0"/>
        <v>35329.48</v>
      </c>
      <c r="N27" s="207">
        <f>I27-6442.99</f>
        <v>0.87</v>
      </c>
    </row>
    <row r="29" ht="18.75" customHeight="1"/>
  </sheetData>
  <sheetProtection/>
  <mergeCells count="17">
    <mergeCell ref="A17:A19"/>
    <mergeCell ref="A3:A4"/>
    <mergeCell ref="A2:M2"/>
    <mergeCell ref="D3:G3"/>
    <mergeCell ref="H3:M3"/>
    <mergeCell ref="C3:C4"/>
    <mergeCell ref="B3:B4"/>
    <mergeCell ref="A20:A24"/>
    <mergeCell ref="B20:B24"/>
    <mergeCell ref="A25:A27"/>
    <mergeCell ref="B25:B27"/>
    <mergeCell ref="I1:M1"/>
    <mergeCell ref="A5:A10"/>
    <mergeCell ref="B5:B10"/>
    <mergeCell ref="A11:A16"/>
    <mergeCell ref="B11:B16"/>
    <mergeCell ref="B17:B19"/>
  </mergeCells>
  <printOptions/>
  <pageMargins left="0.5118110236220472" right="0.11811023622047245" top="0.5511811023622047" bottom="0.35433070866141736" header="0.31496062992125984" footer="0.31496062992125984"/>
  <pageSetup fitToHeight="2" fitToWidth="1" horizontalDpi="600" verticalDpi="600" orientation="landscape" paperSize="9" scale="72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81" t="s">
        <v>153</v>
      </c>
      <c r="J1" s="81"/>
      <c r="K1" s="81"/>
      <c r="L1" s="81"/>
      <c r="M1" s="81"/>
    </row>
    <row r="2" spans="1:8" ht="46.5" customHeight="1">
      <c r="A2" s="287" t="s">
        <v>395</v>
      </c>
      <c r="B2" s="287"/>
      <c r="C2" s="287"/>
      <c r="D2" s="287"/>
      <c r="E2" s="287"/>
      <c r="F2" s="287"/>
      <c r="G2" s="287"/>
      <c r="H2" s="287"/>
    </row>
    <row r="3" spans="1:8" ht="37.5" customHeight="1">
      <c r="A3" s="10" t="s">
        <v>131</v>
      </c>
      <c r="B3" s="10" t="s">
        <v>396</v>
      </c>
      <c r="C3" s="102" t="s">
        <v>156</v>
      </c>
      <c r="D3" s="102" t="s">
        <v>157</v>
      </c>
      <c r="E3" s="102" t="s">
        <v>162</v>
      </c>
      <c r="F3" s="102" t="s">
        <v>163</v>
      </c>
      <c r="G3" s="102" t="s">
        <v>164</v>
      </c>
      <c r="H3" s="10" t="s">
        <v>397</v>
      </c>
    </row>
    <row r="4" spans="1:8" ht="18" customHeight="1">
      <c r="A4" s="101"/>
      <c r="B4" s="99"/>
      <c r="C4" s="99"/>
      <c r="D4" s="99"/>
      <c r="E4" s="99"/>
      <c r="F4" s="99"/>
      <c r="G4" s="101"/>
      <c r="H4" s="101"/>
    </row>
    <row r="5" spans="1:8" ht="15.75">
      <c r="A5" s="79"/>
      <c r="B5" s="79"/>
      <c r="C5" s="79"/>
      <c r="D5" s="79"/>
      <c r="E5" s="79"/>
      <c r="F5" s="79"/>
      <c r="G5" s="79"/>
      <c r="H5" s="79"/>
    </row>
    <row r="6" spans="1:8" ht="15.75">
      <c r="A6" s="79"/>
      <c r="B6" s="79"/>
      <c r="C6" s="79"/>
      <c r="D6" s="79"/>
      <c r="E6" s="79"/>
      <c r="F6" s="79"/>
      <c r="G6" s="79"/>
      <c r="H6" s="79"/>
    </row>
    <row r="7" spans="1:8" ht="15.75">
      <c r="A7" s="79"/>
      <c r="B7" s="79"/>
      <c r="C7" s="79"/>
      <c r="D7" s="79"/>
      <c r="E7" s="79"/>
      <c r="F7" s="79"/>
      <c r="G7" s="79"/>
      <c r="H7" s="79"/>
    </row>
    <row r="8" spans="1:8" ht="15.75">
      <c r="A8" s="79"/>
      <c r="B8" s="79"/>
      <c r="C8" s="79"/>
      <c r="D8" s="79"/>
      <c r="E8" s="79"/>
      <c r="F8" s="79"/>
      <c r="G8" s="79"/>
      <c r="H8" s="79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5"/>
  <sheetViews>
    <sheetView view="pageBreakPreview" zoomScale="96" zoomScaleSheetLayoutView="96" zoomScalePageLayoutView="0" workbookViewId="0" topLeftCell="A1">
      <selection activeCell="D3" sqref="D3:I3"/>
    </sheetView>
  </sheetViews>
  <sheetFormatPr defaultColWidth="9.00390625" defaultRowHeight="12.75"/>
  <cols>
    <col min="1" max="1" width="18.375" style="21" customWidth="1"/>
    <col min="2" max="2" width="29.625" style="21" customWidth="1"/>
    <col min="3" max="3" width="36.875" style="21" customWidth="1"/>
    <col min="4" max="9" width="16.00390625" style="21" customWidth="1"/>
    <col min="10" max="10" width="10.875" style="21" bestFit="1" customWidth="1"/>
    <col min="11" max="16384" width="9.125" style="21" customWidth="1"/>
  </cols>
  <sheetData>
    <row r="1" spans="3:9" ht="55.5" customHeight="1">
      <c r="C1" s="1"/>
      <c r="E1" s="282" t="s">
        <v>536</v>
      </c>
      <c r="F1" s="282"/>
      <c r="G1" s="282"/>
      <c r="H1" s="282"/>
      <c r="I1" s="282"/>
    </row>
    <row r="2" spans="1:9" ht="55.5" customHeight="1">
      <c r="A2" s="286" t="s">
        <v>544</v>
      </c>
      <c r="B2" s="286"/>
      <c r="C2" s="286"/>
      <c r="D2" s="286"/>
      <c r="E2" s="286"/>
      <c r="F2" s="286"/>
      <c r="G2" s="286"/>
      <c r="H2" s="286"/>
      <c r="I2" s="286"/>
    </row>
    <row r="3" spans="1:9" ht="33.75" customHeight="1">
      <c r="A3" s="235" t="s">
        <v>215</v>
      </c>
      <c r="B3" s="235" t="s">
        <v>83</v>
      </c>
      <c r="C3" s="264" t="s">
        <v>398</v>
      </c>
      <c r="D3" s="235" t="s">
        <v>217</v>
      </c>
      <c r="E3" s="235"/>
      <c r="F3" s="235"/>
      <c r="G3" s="235"/>
      <c r="H3" s="235"/>
      <c r="I3" s="235"/>
    </row>
    <row r="4" spans="1:9" ht="36" customHeight="1">
      <c r="A4" s="235"/>
      <c r="B4" s="235"/>
      <c r="C4" s="289"/>
      <c r="D4" s="196" t="s">
        <v>162</v>
      </c>
      <c r="E4" s="196" t="s">
        <v>163</v>
      </c>
      <c r="F4" s="196" t="s">
        <v>164</v>
      </c>
      <c r="G4" s="196" t="s">
        <v>165</v>
      </c>
      <c r="H4" s="196" t="s">
        <v>166</v>
      </c>
      <c r="I4" s="196" t="s">
        <v>226</v>
      </c>
    </row>
    <row r="5" spans="1:10" ht="15.75">
      <c r="A5" s="235" t="s">
        <v>81</v>
      </c>
      <c r="B5" s="235" t="s">
        <v>82</v>
      </c>
      <c r="C5" s="180"/>
      <c r="D5" s="197">
        <f>D8+D10+D7</f>
        <v>299406.7</v>
      </c>
      <c r="E5" s="197">
        <f>E8+E10+E7</f>
        <v>277118.43</v>
      </c>
      <c r="F5" s="197">
        <f>F8+F10+F7</f>
        <v>219329</v>
      </c>
      <c r="G5" s="197">
        <f>G8+G10+G7</f>
        <v>218111.1</v>
      </c>
      <c r="H5" s="197">
        <f>H8+H10+H7</f>
        <v>218111.1</v>
      </c>
      <c r="I5" s="197">
        <f aca="true" t="shared" si="0" ref="I5:I37">SUM(D5:H5)</f>
        <v>1232076.33</v>
      </c>
      <c r="J5" s="21" t="b">
        <f>I5='Распределение расходов'!M5</f>
        <v>1</v>
      </c>
    </row>
    <row r="6" spans="1:9" ht="15.75">
      <c r="A6" s="235"/>
      <c r="B6" s="235"/>
      <c r="C6" s="167" t="s">
        <v>135</v>
      </c>
      <c r="D6" s="158"/>
      <c r="E6" s="158"/>
      <c r="F6" s="195"/>
      <c r="G6" s="195"/>
      <c r="H6" s="195"/>
      <c r="I6" s="197">
        <f t="shared" si="0"/>
        <v>0</v>
      </c>
    </row>
    <row r="7" spans="1:9" ht="15.75" customHeight="1">
      <c r="A7" s="235"/>
      <c r="B7" s="235"/>
      <c r="C7" s="168" t="s">
        <v>155</v>
      </c>
      <c r="D7" s="197">
        <f>D28+D14</f>
        <v>3420.9</v>
      </c>
      <c r="E7" s="197">
        <f>E28+E14</f>
        <v>300.7</v>
      </c>
      <c r="F7" s="197">
        <f>F28+F14</f>
        <v>0</v>
      </c>
      <c r="G7" s="197">
        <f>G28+G14</f>
        <v>0</v>
      </c>
      <c r="H7" s="197">
        <f>H28+H14</f>
        <v>0</v>
      </c>
      <c r="I7" s="197">
        <f t="shared" si="0"/>
        <v>3721.6</v>
      </c>
    </row>
    <row r="8" spans="1:9" ht="15.75">
      <c r="A8" s="235"/>
      <c r="B8" s="235"/>
      <c r="C8" s="168" t="s">
        <v>134</v>
      </c>
      <c r="D8" s="197">
        <f>D15+D22+D29+D36</f>
        <v>225652.47</v>
      </c>
      <c r="E8" s="197">
        <f>E15+E22+E29+E36</f>
        <v>198886.72</v>
      </c>
      <c r="F8" s="197">
        <f>F15+F22+F29+F36</f>
        <v>113586.1</v>
      </c>
      <c r="G8" s="197">
        <f>G15+G22+G29+G36</f>
        <v>113586.1</v>
      </c>
      <c r="H8" s="197">
        <f>H15+H22+H29+H36</f>
        <v>113586.1</v>
      </c>
      <c r="I8" s="197">
        <f t="shared" si="0"/>
        <v>765297.49</v>
      </c>
    </row>
    <row r="9" spans="1:9" ht="15" customHeight="1">
      <c r="A9" s="235"/>
      <c r="B9" s="235"/>
      <c r="C9" s="168" t="s">
        <v>359</v>
      </c>
      <c r="D9" s="197"/>
      <c r="E9" s="197"/>
      <c r="F9" s="197"/>
      <c r="G9" s="197"/>
      <c r="H9" s="197"/>
      <c r="I9" s="197">
        <f t="shared" si="0"/>
        <v>0</v>
      </c>
    </row>
    <row r="10" spans="1:9" ht="15.75">
      <c r="A10" s="235"/>
      <c r="B10" s="235"/>
      <c r="C10" s="168" t="s">
        <v>25</v>
      </c>
      <c r="D10" s="197">
        <f>D24+D31+D38+D17</f>
        <v>70333.33</v>
      </c>
      <c r="E10" s="197">
        <f>E24+E31+E38+E17</f>
        <v>77931.01</v>
      </c>
      <c r="F10" s="197">
        <f>F24+F31+F38+F17</f>
        <v>105742.9</v>
      </c>
      <c r="G10" s="197">
        <f>G24+G31+G38+G17</f>
        <v>104525</v>
      </c>
      <c r="H10" s="197">
        <f>H24+H31+H38+H17</f>
        <v>104525</v>
      </c>
      <c r="I10" s="197">
        <f t="shared" si="0"/>
        <v>463057.24</v>
      </c>
    </row>
    <row r="11" spans="1:9" ht="15.75">
      <c r="A11" s="235"/>
      <c r="B11" s="235"/>
      <c r="C11" s="168" t="s">
        <v>216</v>
      </c>
      <c r="D11" s="197"/>
      <c r="E11" s="197"/>
      <c r="F11" s="197"/>
      <c r="G11" s="197"/>
      <c r="H11" s="197"/>
      <c r="I11" s="197">
        <f t="shared" si="0"/>
        <v>0</v>
      </c>
    </row>
    <row r="12" spans="1:9" ht="15.75">
      <c r="A12" s="235" t="s">
        <v>236</v>
      </c>
      <c r="B12" s="235" t="s">
        <v>84</v>
      </c>
      <c r="C12" s="19" t="s">
        <v>132</v>
      </c>
      <c r="D12" s="197">
        <f>SUM(D13:D17)</f>
        <v>287773.78</v>
      </c>
      <c r="E12" s="197">
        <f>SUM(E13:E17)</f>
        <v>268317.17</v>
      </c>
      <c r="F12" s="197">
        <f>SUM(F13:F17)</f>
        <v>210364.8</v>
      </c>
      <c r="G12" s="197">
        <f>SUM(G13:G17)</f>
        <v>209146.9</v>
      </c>
      <c r="H12" s="197">
        <f>SUM(H13:H17)</f>
        <v>209146.9</v>
      </c>
      <c r="I12" s="197">
        <f t="shared" si="0"/>
        <v>1184749.55</v>
      </c>
    </row>
    <row r="13" spans="1:9" ht="15.75">
      <c r="A13" s="235"/>
      <c r="B13" s="235"/>
      <c r="C13" s="167" t="s">
        <v>135</v>
      </c>
      <c r="D13" s="195"/>
      <c r="E13" s="195"/>
      <c r="F13" s="195"/>
      <c r="G13" s="195"/>
      <c r="H13" s="195"/>
      <c r="I13" s="197">
        <f t="shared" si="0"/>
        <v>0</v>
      </c>
    </row>
    <row r="14" spans="1:9" ht="15.75">
      <c r="A14" s="235"/>
      <c r="B14" s="235"/>
      <c r="C14" s="168" t="s">
        <v>155</v>
      </c>
      <c r="D14" s="197">
        <f>'Мероприятия подпрограммы 1'!H100</f>
        <v>2641.9</v>
      </c>
      <c r="E14" s="197">
        <f>'Мероприятия подпрограммы 1'!I100</f>
        <v>0</v>
      </c>
      <c r="F14" s="197">
        <f>'Мероприятия подпрограммы 1'!J100</f>
        <v>0</v>
      </c>
      <c r="G14" s="197">
        <f>'Мероприятия подпрограммы 1'!K100</f>
        <v>0</v>
      </c>
      <c r="H14" s="197">
        <f>'Мероприятия подпрограммы 1'!L100</f>
        <v>0</v>
      </c>
      <c r="I14" s="197">
        <f t="shared" si="0"/>
        <v>2641.9</v>
      </c>
    </row>
    <row r="15" spans="1:9" ht="15.75">
      <c r="A15" s="235"/>
      <c r="B15" s="235"/>
      <c r="C15" s="168" t="s">
        <v>134</v>
      </c>
      <c r="D15" s="197">
        <f>'Мероприятия подпрограммы 1'!H102</f>
        <v>221162.07</v>
      </c>
      <c r="E15" s="197">
        <f>'Мероприятия подпрограммы 1'!I102</f>
        <v>197100.02</v>
      </c>
      <c r="F15" s="197">
        <f>'Мероприятия подпрограммы 1'!J102</f>
        <v>112504.3</v>
      </c>
      <c r="G15" s="197">
        <f>'Мероприятия подпрограммы 1'!K102</f>
        <v>112504.3</v>
      </c>
      <c r="H15" s="197">
        <f>'Мероприятия подпрограммы 1'!L102</f>
        <v>112504.3</v>
      </c>
      <c r="I15" s="197">
        <f t="shared" si="0"/>
        <v>755774.99</v>
      </c>
    </row>
    <row r="16" spans="1:9" ht="15.75">
      <c r="A16" s="235"/>
      <c r="B16" s="235"/>
      <c r="C16" s="169" t="s">
        <v>360</v>
      </c>
      <c r="D16" s="197"/>
      <c r="E16" s="197"/>
      <c r="F16" s="197"/>
      <c r="G16" s="197"/>
      <c r="H16" s="197"/>
      <c r="I16" s="197">
        <f t="shared" si="0"/>
        <v>0</v>
      </c>
    </row>
    <row r="17" spans="1:9" ht="15.75">
      <c r="A17" s="235"/>
      <c r="B17" s="235"/>
      <c r="C17" s="168" t="s">
        <v>25</v>
      </c>
      <c r="D17" s="197">
        <f>'Мероприятия подпрограммы 1'!H101</f>
        <v>63969.81</v>
      </c>
      <c r="E17" s="197">
        <f>'Мероприятия подпрограммы 1'!I101</f>
        <v>71217.15</v>
      </c>
      <c r="F17" s="197">
        <f>'Мероприятия подпрограммы 1'!J101</f>
        <v>97860.5</v>
      </c>
      <c r="G17" s="197">
        <f>'Мероприятия подпрограммы 1'!K101</f>
        <v>96642.6</v>
      </c>
      <c r="H17" s="197">
        <f>'Мероприятия подпрограммы 1'!L101</f>
        <v>96642.6</v>
      </c>
      <c r="I17" s="197">
        <f t="shared" si="0"/>
        <v>426332.66</v>
      </c>
    </row>
    <row r="18" spans="1:9" ht="15.75">
      <c r="A18" s="235"/>
      <c r="B18" s="235"/>
      <c r="C18" s="168" t="s">
        <v>216</v>
      </c>
      <c r="D18" s="197"/>
      <c r="E18" s="197"/>
      <c r="F18" s="195"/>
      <c r="G18" s="195"/>
      <c r="H18" s="195"/>
      <c r="I18" s="197">
        <f t="shared" si="0"/>
        <v>0</v>
      </c>
    </row>
    <row r="19" spans="1:9" ht="15.75">
      <c r="A19" s="235" t="s">
        <v>233</v>
      </c>
      <c r="B19" s="235" t="s">
        <v>237</v>
      </c>
      <c r="C19" s="19" t="s">
        <v>132</v>
      </c>
      <c r="D19" s="197">
        <f>SUM(D20:D25)</f>
        <v>75.1</v>
      </c>
      <c r="E19" s="197">
        <f>SUM(E20:E25)</f>
        <v>120</v>
      </c>
      <c r="F19" s="197">
        <f>SUM(F20:F25)</f>
        <v>150</v>
      </c>
      <c r="G19" s="197">
        <f>SUM(G20:G25)</f>
        <v>150</v>
      </c>
      <c r="H19" s="197">
        <f>SUM(H20:H25)</f>
        <v>150</v>
      </c>
      <c r="I19" s="197">
        <f t="shared" si="0"/>
        <v>645.1</v>
      </c>
    </row>
    <row r="20" spans="1:9" ht="15.75">
      <c r="A20" s="235"/>
      <c r="B20" s="235"/>
      <c r="C20" s="167" t="s">
        <v>135</v>
      </c>
      <c r="D20" s="197"/>
      <c r="E20" s="197"/>
      <c r="F20" s="195"/>
      <c r="G20" s="195"/>
      <c r="H20" s="195"/>
      <c r="I20" s="197">
        <f t="shared" si="0"/>
        <v>0</v>
      </c>
    </row>
    <row r="21" spans="1:9" ht="15.75">
      <c r="A21" s="235"/>
      <c r="B21" s="235"/>
      <c r="C21" s="168" t="s">
        <v>155</v>
      </c>
      <c r="D21" s="197"/>
      <c r="E21" s="197"/>
      <c r="F21" s="195"/>
      <c r="G21" s="195"/>
      <c r="H21" s="195"/>
      <c r="I21" s="197">
        <f t="shared" si="0"/>
        <v>0</v>
      </c>
    </row>
    <row r="22" spans="1:9" ht="15.75">
      <c r="A22" s="235"/>
      <c r="B22" s="235"/>
      <c r="C22" s="168" t="s">
        <v>134</v>
      </c>
      <c r="D22" s="197"/>
      <c r="E22" s="197"/>
      <c r="F22" s="197"/>
      <c r="G22" s="197"/>
      <c r="H22" s="197"/>
      <c r="I22" s="197">
        <f t="shared" si="0"/>
        <v>0</v>
      </c>
    </row>
    <row r="23" spans="1:9" ht="15.75">
      <c r="A23" s="235"/>
      <c r="B23" s="235"/>
      <c r="C23" s="168" t="s">
        <v>394</v>
      </c>
      <c r="D23" s="197"/>
      <c r="E23" s="197"/>
      <c r="F23" s="195"/>
      <c r="G23" s="195"/>
      <c r="H23" s="195"/>
      <c r="I23" s="197">
        <f t="shared" si="0"/>
        <v>0</v>
      </c>
    </row>
    <row r="24" spans="1:9" ht="15.75">
      <c r="A24" s="235"/>
      <c r="B24" s="235"/>
      <c r="C24" s="168" t="s">
        <v>25</v>
      </c>
      <c r="D24" s="197">
        <f>'!!!Мероприятия подпрограммы 2'!H27</f>
        <v>75.1</v>
      </c>
      <c r="E24" s="197">
        <f>'!!!Мероприятия подпрограммы 2'!I27</f>
        <v>120</v>
      </c>
      <c r="F24" s="197">
        <f>'!!!Мероприятия подпрограммы 2'!J27</f>
        <v>150</v>
      </c>
      <c r="G24" s="197">
        <f>'!!!Мероприятия подпрограммы 2'!K27</f>
        <v>150</v>
      </c>
      <c r="H24" s="197">
        <f>'!!!Мероприятия подпрограммы 2'!L27</f>
        <v>150</v>
      </c>
      <c r="I24" s="197">
        <f t="shared" si="0"/>
        <v>645.1</v>
      </c>
    </row>
    <row r="25" spans="1:9" ht="15.75">
      <c r="A25" s="235"/>
      <c r="B25" s="235"/>
      <c r="C25" s="168" t="s">
        <v>216</v>
      </c>
      <c r="D25" s="197"/>
      <c r="E25" s="197"/>
      <c r="F25" s="195"/>
      <c r="G25" s="195"/>
      <c r="H25" s="195"/>
      <c r="I25" s="197">
        <f t="shared" si="0"/>
        <v>0</v>
      </c>
    </row>
    <row r="26" spans="1:9" ht="15.75">
      <c r="A26" s="235" t="s">
        <v>234</v>
      </c>
      <c r="B26" s="235" t="s">
        <v>24</v>
      </c>
      <c r="C26" s="19" t="s">
        <v>132</v>
      </c>
      <c r="D26" s="197">
        <f>SUM(D27:D32)</f>
        <v>5419.4</v>
      </c>
      <c r="E26" s="197">
        <f>SUM(E27:E32)</f>
        <v>2237.4</v>
      </c>
      <c r="F26" s="197">
        <f>SUM(F27:F32)</f>
        <v>1231.8</v>
      </c>
      <c r="G26" s="197">
        <f>SUM(G27:G32)</f>
        <v>1231.8</v>
      </c>
      <c r="H26" s="197">
        <f>SUM(H27:H32)</f>
        <v>1231.8</v>
      </c>
      <c r="I26" s="197">
        <f t="shared" si="0"/>
        <v>11352.2</v>
      </c>
    </row>
    <row r="27" spans="1:9" ht="15.75">
      <c r="A27" s="235"/>
      <c r="B27" s="235"/>
      <c r="C27" s="167" t="s">
        <v>135</v>
      </c>
      <c r="D27" s="197"/>
      <c r="E27" s="197"/>
      <c r="F27" s="195"/>
      <c r="G27" s="195"/>
      <c r="H27" s="195"/>
      <c r="I27" s="197">
        <f t="shared" si="0"/>
        <v>0</v>
      </c>
    </row>
    <row r="28" spans="1:9" ht="15.75">
      <c r="A28" s="235"/>
      <c r="B28" s="235"/>
      <c r="C28" s="168" t="s">
        <v>155</v>
      </c>
      <c r="D28" s="197">
        <f>'!!!Мероприятия подпрограммы 3'!H14</f>
        <v>779</v>
      </c>
      <c r="E28" s="197">
        <f>'!!!Мероприятия подпрограммы 3'!I14</f>
        <v>300.7</v>
      </c>
      <c r="F28" s="197">
        <f>'!!!Мероприятия подпрограммы 3'!J14</f>
        <v>0</v>
      </c>
      <c r="G28" s="197">
        <f>'!!!Мероприятия подпрограммы 3'!K14</f>
        <v>0</v>
      </c>
      <c r="H28" s="197">
        <f>'!!!Мероприятия подпрограммы 3'!L14</f>
        <v>0</v>
      </c>
      <c r="I28" s="197">
        <f t="shared" si="0"/>
        <v>1079.7</v>
      </c>
    </row>
    <row r="29" spans="1:9" ht="15.75">
      <c r="A29" s="235"/>
      <c r="B29" s="235"/>
      <c r="C29" s="168" t="s">
        <v>134</v>
      </c>
      <c r="D29" s="197">
        <f>'!!!Мероприятия подпрограммы 3'!H33-'Ресурсное обеспечение'!D31-D28</f>
        <v>4490.4</v>
      </c>
      <c r="E29" s="197">
        <f>'!!!Мероприятия подпрограммы 3'!I33-'Ресурсное обеспечение'!E31-E28</f>
        <v>1786.7</v>
      </c>
      <c r="F29" s="197">
        <f>'!!!Мероприятия подпрограммы 3'!J33-'Ресурсное обеспечение'!F31-F28</f>
        <v>1081.8</v>
      </c>
      <c r="G29" s="197">
        <f>'!!!Мероприятия подпрограммы 3'!K33-'Ресурсное обеспечение'!G31-G28</f>
        <v>1081.8</v>
      </c>
      <c r="H29" s="197">
        <f>'!!!Мероприятия подпрограммы 3'!L33-'Ресурсное обеспечение'!H31-H28</f>
        <v>1081.8</v>
      </c>
      <c r="I29" s="197">
        <f t="shared" si="0"/>
        <v>9522.5</v>
      </c>
    </row>
    <row r="30" spans="1:9" ht="15" customHeight="1">
      <c r="A30" s="235"/>
      <c r="B30" s="235"/>
      <c r="C30" s="168" t="s">
        <v>394</v>
      </c>
      <c r="D30" s="197"/>
      <c r="E30" s="197"/>
      <c r="F30" s="195"/>
      <c r="G30" s="195"/>
      <c r="H30" s="195"/>
      <c r="I30" s="197">
        <f t="shared" si="0"/>
        <v>0</v>
      </c>
    </row>
    <row r="31" spans="1:9" ht="14.25" customHeight="1">
      <c r="A31" s="235"/>
      <c r="B31" s="235"/>
      <c r="C31" s="168" t="s">
        <v>25</v>
      </c>
      <c r="D31" s="197">
        <f>'!!!Мероприятия подпрограммы 3'!H12+'!!!Мероприятия подпрограммы 3'!H21+'!!!Мероприятия подпрограммы 3'!H26</f>
        <v>150</v>
      </c>
      <c r="E31" s="197">
        <f>'!!!Мероприятия подпрограммы 3'!I12+'!!!Мероприятия подпрограммы 3'!I21+'!!!Мероприятия подпрограммы 3'!I26</f>
        <v>150</v>
      </c>
      <c r="F31" s="197">
        <f>'!!!Мероприятия подпрограммы 3'!J12+'!!!Мероприятия подпрограммы 3'!J21+'!!!Мероприятия подпрограммы 3'!J26</f>
        <v>150</v>
      </c>
      <c r="G31" s="197">
        <f>'!!!Мероприятия подпрограммы 3'!K12+'!!!Мероприятия подпрограммы 3'!K21+'!!!Мероприятия подпрограммы 3'!K26</f>
        <v>150</v>
      </c>
      <c r="H31" s="197">
        <f>'!!!Мероприятия подпрограммы 3'!L12+'!!!Мероприятия подпрограммы 3'!L21+'!!!Мероприятия подпрограммы 3'!L26</f>
        <v>150</v>
      </c>
      <c r="I31" s="197">
        <f t="shared" si="0"/>
        <v>750</v>
      </c>
    </row>
    <row r="32" spans="1:9" ht="18" customHeight="1">
      <c r="A32" s="235"/>
      <c r="B32" s="235"/>
      <c r="C32" s="168" t="s">
        <v>216</v>
      </c>
      <c r="D32" s="197"/>
      <c r="E32" s="197"/>
      <c r="F32" s="195"/>
      <c r="G32" s="195"/>
      <c r="H32" s="195"/>
      <c r="I32" s="197">
        <f t="shared" si="0"/>
        <v>0</v>
      </c>
    </row>
    <row r="33" spans="1:9" ht="18" customHeight="1">
      <c r="A33" s="235" t="s">
        <v>235</v>
      </c>
      <c r="B33" s="235" t="s">
        <v>85</v>
      </c>
      <c r="C33" s="19" t="s">
        <v>132</v>
      </c>
      <c r="D33" s="197">
        <f>SUM(D35:D39)</f>
        <v>6138.42</v>
      </c>
      <c r="E33" s="197">
        <f>SUM(E35:E39)</f>
        <v>6443.86</v>
      </c>
      <c r="F33" s="197">
        <f>SUM(F35:F39)</f>
        <v>7582.4</v>
      </c>
      <c r="G33" s="197">
        <f>SUM(G35:G39)</f>
        <v>7582.4</v>
      </c>
      <c r="H33" s="197">
        <f>SUM(H35:H39)</f>
        <v>7582.4</v>
      </c>
      <c r="I33" s="197">
        <f t="shared" si="0"/>
        <v>35329.48</v>
      </c>
    </row>
    <row r="34" spans="1:9" ht="18" customHeight="1">
      <c r="A34" s="235"/>
      <c r="B34" s="235"/>
      <c r="C34" s="167" t="s">
        <v>135</v>
      </c>
      <c r="D34" s="197"/>
      <c r="E34" s="197"/>
      <c r="F34" s="195"/>
      <c r="G34" s="195"/>
      <c r="H34" s="195"/>
      <c r="I34" s="197">
        <f t="shared" si="0"/>
        <v>0</v>
      </c>
    </row>
    <row r="35" spans="1:9" ht="18" customHeight="1">
      <c r="A35" s="235"/>
      <c r="B35" s="235"/>
      <c r="C35" s="168" t="s">
        <v>155</v>
      </c>
      <c r="D35" s="197"/>
      <c r="E35" s="197"/>
      <c r="F35" s="197"/>
      <c r="G35" s="197"/>
      <c r="H35" s="197"/>
      <c r="I35" s="197">
        <f t="shared" si="0"/>
        <v>0</v>
      </c>
    </row>
    <row r="36" spans="1:9" ht="18" customHeight="1">
      <c r="A36" s="235"/>
      <c r="B36" s="235"/>
      <c r="C36" s="168" t="s">
        <v>134</v>
      </c>
      <c r="D36" s="197"/>
      <c r="E36" s="197"/>
      <c r="F36" s="197"/>
      <c r="G36" s="197"/>
      <c r="H36" s="197"/>
      <c r="I36" s="197">
        <f t="shared" si="0"/>
        <v>0</v>
      </c>
    </row>
    <row r="37" spans="1:9" ht="18" customHeight="1">
      <c r="A37" s="235"/>
      <c r="B37" s="235"/>
      <c r="C37" s="168" t="s">
        <v>394</v>
      </c>
      <c r="D37" s="197"/>
      <c r="E37" s="197"/>
      <c r="F37" s="195"/>
      <c r="G37" s="195"/>
      <c r="H37" s="195"/>
      <c r="I37" s="197">
        <f t="shared" si="0"/>
        <v>0</v>
      </c>
    </row>
    <row r="38" spans="1:9" ht="18" customHeight="1">
      <c r="A38" s="235"/>
      <c r="B38" s="235"/>
      <c r="C38" s="168" t="s">
        <v>25</v>
      </c>
      <c r="D38" s="197">
        <f>'!!!Мероприятия подпрограммы 4'!H19-D36</f>
        <v>6138.42</v>
      </c>
      <c r="E38" s="197">
        <f>'!!!Мероприятия подпрограммы 4'!I19-E36</f>
        <v>6443.86</v>
      </c>
      <c r="F38" s="197">
        <f>'!!!Мероприятия подпрограммы 4'!J19-F36</f>
        <v>7582.4</v>
      </c>
      <c r="G38" s="197">
        <f>'!!!Мероприятия подпрограммы 4'!K19-G36</f>
        <v>7582.4</v>
      </c>
      <c r="H38" s="197">
        <f>'!!!Мероприятия подпрограммы 4'!L19-H36</f>
        <v>7582.4</v>
      </c>
      <c r="I38" s="197">
        <f>SUM(D38:H38)</f>
        <v>35329.48</v>
      </c>
    </row>
    <row r="39" spans="1:9" ht="18" customHeight="1">
      <c r="A39" s="235"/>
      <c r="B39" s="235"/>
      <c r="C39" s="168" t="s">
        <v>216</v>
      </c>
      <c r="D39" s="197"/>
      <c r="E39" s="197"/>
      <c r="F39" s="195"/>
      <c r="G39" s="195"/>
      <c r="H39" s="195"/>
      <c r="I39" s="197">
        <f>SUM(D39:H39)</f>
        <v>0</v>
      </c>
    </row>
    <row r="40" spans="1:10" s="1" customFormat="1" ht="30.75" customHeight="1">
      <c r="A40" s="84"/>
      <c r="B40" s="84"/>
      <c r="C40" s="97"/>
      <c r="D40" s="98"/>
      <c r="F40" s="288"/>
      <c r="G40" s="288"/>
      <c r="H40" s="288"/>
      <c r="I40" s="288"/>
      <c r="J40" s="20"/>
    </row>
    <row r="41" spans="4:5" ht="15">
      <c r="D41" s="171"/>
      <c r="E41" s="171">
        <f>'Мероприятия подпрограммы 1'!I96+'!!!Мероприятия подпрограммы 2'!I27+'!!!Мероприятия подпрограммы 3'!I33+'!!!Мероприятия подпрограммы 4'!I19</f>
        <v>277118.43</v>
      </c>
    </row>
    <row r="42" ht="15">
      <c r="D42" s="171"/>
    </row>
    <row r="43" ht="15">
      <c r="D43" s="171"/>
    </row>
    <row r="49" ht="15">
      <c r="L49" s="21" t="s">
        <v>124</v>
      </c>
    </row>
    <row r="145" ht="105" customHeight="1">
      <c r="N145" s="1"/>
    </row>
  </sheetData>
  <sheetProtection/>
  <mergeCells count="17">
    <mergeCell ref="B12:B18"/>
    <mergeCell ref="A19:A25"/>
    <mergeCell ref="B19:B25"/>
    <mergeCell ref="B33:B39"/>
    <mergeCell ref="A26:A32"/>
    <mergeCell ref="B26:B32"/>
    <mergeCell ref="A33:A39"/>
    <mergeCell ref="A2:I2"/>
    <mergeCell ref="E1:I1"/>
    <mergeCell ref="F40:I40"/>
    <mergeCell ref="C3:C4"/>
    <mergeCell ref="A3:A4"/>
    <mergeCell ref="B3:B4"/>
    <mergeCell ref="A5:A11"/>
    <mergeCell ref="B5:B11"/>
    <mergeCell ref="D3:I3"/>
    <mergeCell ref="A12:A18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75" r:id="rId1"/>
  <headerFooter differentFirst="1">
    <oddHeader>&amp;C&amp;P</oddHeader>
  </headerFooter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17"/>
  <sheetViews>
    <sheetView view="pageBreakPreview" zoomScale="120" zoomScaleSheetLayoutView="120" zoomScalePageLayoutView="0" workbookViewId="0" topLeftCell="A1">
      <selection activeCell="B3" sqref="B3:H3"/>
    </sheetView>
  </sheetViews>
  <sheetFormatPr defaultColWidth="9.00390625" defaultRowHeight="12.75"/>
  <cols>
    <col min="1" max="1" width="62.625" style="8" customWidth="1"/>
    <col min="2" max="8" width="9.125" style="8" customWidth="1"/>
    <col min="9" max="10" width="9.875" style="8" customWidth="1"/>
    <col min="11" max="12" width="9.625" style="8" bestFit="1" customWidth="1"/>
    <col min="13" max="16384" width="9.125" style="8" customWidth="1"/>
  </cols>
  <sheetData>
    <row r="1" spans="9:15" ht="78" customHeight="1">
      <c r="I1" s="294" t="s">
        <v>525</v>
      </c>
      <c r="J1" s="294"/>
      <c r="K1" s="294"/>
      <c r="L1" s="294"/>
      <c r="M1" s="294"/>
      <c r="N1" s="294"/>
      <c r="O1" s="294"/>
    </row>
    <row r="2" spans="1:15" s="80" customFormat="1" ht="27.75" customHeight="1">
      <c r="A2" s="293" t="s">
        <v>545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39.75" customHeight="1">
      <c r="A3" s="260" t="s">
        <v>400</v>
      </c>
      <c r="B3" s="290" t="s">
        <v>399</v>
      </c>
      <c r="C3" s="291"/>
      <c r="D3" s="291"/>
      <c r="E3" s="291"/>
      <c r="F3" s="291"/>
      <c r="G3" s="291"/>
      <c r="H3" s="292"/>
      <c r="I3" s="290" t="s">
        <v>441</v>
      </c>
      <c r="J3" s="291"/>
      <c r="K3" s="291"/>
      <c r="L3" s="291"/>
      <c r="M3" s="291"/>
      <c r="N3" s="291"/>
      <c r="O3" s="292"/>
    </row>
    <row r="4" spans="1:15" ht="31.5">
      <c r="A4" s="260"/>
      <c r="B4" s="10" t="s">
        <v>156</v>
      </c>
      <c r="C4" s="10" t="s">
        <v>157</v>
      </c>
      <c r="D4" s="10" t="s">
        <v>162</v>
      </c>
      <c r="E4" s="10" t="s">
        <v>163</v>
      </c>
      <c r="F4" s="10">
        <v>2016</v>
      </c>
      <c r="G4" s="10">
        <v>2017</v>
      </c>
      <c r="H4" s="10">
        <v>2018</v>
      </c>
      <c r="I4" s="10" t="s">
        <v>156</v>
      </c>
      <c r="J4" s="10" t="s">
        <v>157</v>
      </c>
      <c r="K4" s="10" t="s">
        <v>162</v>
      </c>
      <c r="L4" s="10" t="s">
        <v>163</v>
      </c>
      <c r="M4" s="10" t="s">
        <v>164</v>
      </c>
      <c r="N4" s="10" t="s">
        <v>165</v>
      </c>
      <c r="O4" s="10" t="s">
        <v>166</v>
      </c>
    </row>
    <row r="5" spans="1:15" ht="15.75">
      <c r="A5" s="79" t="s">
        <v>86</v>
      </c>
      <c r="B5" s="10"/>
      <c r="C5" s="10"/>
      <c r="D5" s="10"/>
      <c r="E5" s="10"/>
      <c r="F5" s="10"/>
      <c r="G5" s="10"/>
      <c r="H5" s="10"/>
      <c r="I5" s="184"/>
      <c r="J5" s="184"/>
      <c r="K5" s="184"/>
      <c r="L5" s="184"/>
      <c r="M5" s="184"/>
      <c r="N5" s="184"/>
      <c r="O5" s="79"/>
    </row>
    <row r="6" spans="1:15" ht="49.5" customHeight="1">
      <c r="A6" s="198" t="s">
        <v>438</v>
      </c>
      <c r="B6" s="79"/>
      <c r="C6" s="79"/>
      <c r="D6" s="79"/>
      <c r="E6" s="79"/>
      <c r="F6" s="79"/>
      <c r="G6" s="79"/>
      <c r="H6" s="79"/>
      <c r="I6" s="185"/>
      <c r="J6" s="185"/>
      <c r="K6" s="185"/>
      <c r="L6" s="185"/>
      <c r="M6" s="185"/>
      <c r="N6" s="185"/>
      <c r="O6" s="79"/>
    </row>
    <row r="7" spans="1:15" ht="47.25" customHeight="1">
      <c r="A7" s="209" t="s">
        <v>461</v>
      </c>
      <c r="B7" s="79">
        <v>44</v>
      </c>
      <c r="C7" s="79">
        <v>44</v>
      </c>
      <c r="D7" s="79">
        <v>36</v>
      </c>
      <c r="E7" s="79">
        <v>31</v>
      </c>
      <c r="F7" s="79">
        <v>31</v>
      </c>
      <c r="G7" s="79">
        <v>31</v>
      </c>
      <c r="H7" s="79">
        <v>31</v>
      </c>
      <c r="I7" s="185">
        <v>3814.45</v>
      </c>
      <c r="J7" s="185">
        <v>3800.89</v>
      </c>
      <c r="K7" s="186">
        <v>3159.79</v>
      </c>
      <c r="L7" s="186">
        <v>5337.89</v>
      </c>
      <c r="M7" s="186">
        <v>5337.89</v>
      </c>
      <c r="N7" s="186">
        <v>5337.89</v>
      </c>
      <c r="O7" s="186">
        <v>5337.89</v>
      </c>
    </row>
    <row r="8" spans="1:15" ht="33.75" customHeight="1">
      <c r="A8" s="198" t="s">
        <v>474</v>
      </c>
      <c r="B8" s="79"/>
      <c r="C8" s="79"/>
      <c r="D8" s="79"/>
      <c r="E8" s="79"/>
      <c r="F8" s="79"/>
      <c r="G8" s="79"/>
      <c r="H8" s="79"/>
      <c r="I8" s="185"/>
      <c r="J8" s="185"/>
      <c r="K8" s="186"/>
      <c r="L8" s="186"/>
      <c r="M8" s="186"/>
      <c r="N8" s="186"/>
      <c r="O8" s="186"/>
    </row>
    <row r="9" spans="1:15" ht="31.5">
      <c r="A9" s="209" t="s">
        <v>462</v>
      </c>
      <c r="B9" s="79">
        <v>153</v>
      </c>
      <c r="C9" s="79">
        <v>156</v>
      </c>
      <c r="D9" s="79">
        <v>154</v>
      </c>
      <c r="E9" s="79">
        <v>178</v>
      </c>
      <c r="F9" s="79">
        <v>178</v>
      </c>
      <c r="G9" s="79">
        <v>178</v>
      </c>
      <c r="H9" s="79">
        <v>178</v>
      </c>
      <c r="I9" s="185">
        <v>7628.9</v>
      </c>
      <c r="J9" s="185">
        <v>7601.78</v>
      </c>
      <c r="K9" s="186">
        <v>10887.47</v>
      </c>
      <c r="L9" s="186">
        <v>11101.35</v>
      </c>
      <c r="M9" s="186">
        <v>11101.35</v>
      </c>
      <c r="N9" s="186">
        <v>11101.35</v>
      </c>
      <c r="O9" s="186">
        <v>11101.35</v>
      </c>
    </row>
    <row r="10" spans="1:15" ht="31.5">
      <c r="A10" s="198" t="s">
        <v>475</v>
      </c>
      <c r="B10" s="79"/>
      <c r="C10" s="79"/>
      <c r="D10" s="79"/>
      <c r="E10" s="79"/>
      <c r="F10" s="79"/>
      <c r="G10" s="79"/>
      <c r="H10" s="79"/>
      <c r="I10" s="185"/>
      <c r="J10" s="185"/>
      <c r="K10" s="186"/>
      <c r="L10" s="186"/>
      <c r="M10" s="186"/>
      <c r="N10" s="186"/>
      <c r="O10" s="186"/>
    </row>
    <row r="11" spans="1:15" ht="31.5">
      <c r="A11" s="209" t="s">
        <v>463</v>
      </c>
      <c r="B11" s="79">
        <v>221</v>
      </c>
      <c r="C11" s="79">
        <v>206</v>
      </c>
      <c r="D11" s="79">
        <v>209</v>
      </c>
      <c r="E11" s="79">
        <v>279</v>
      </c>
      <c r="F11" s="79">
        <v>279</v>
      </c>
      <c r="G11" s="79">
        <v>279</v>
      </c>
      <c r="H11" s="79">
        <v>279</v>
      </c>
      <c r="I11" s="185">
        <v>10503.56</v>
      </c>
      <c r="J11" s="185">
        <v>10466.21</v>
      </c>
      <c r="K11" s="186">
        <v>15194.55</v>
      </c>
      <c r="L11" s="186">
        <v>14599.92</v>
      </c>
      <c r="M11" s="186">
        <v>14599.92</v>
      </c>
      <c r="N11" s="186">
        <v>14599.92</v>
      </c>
      <c r="O11" s="186">
        <v>14599.92</v>
      </c>
    </row>
    <row r="12" spans="1:15" ht="31.5">
      <c r="A12" s="198" t="s">
        <v>476</v>
      </c>
      <c r="B12" s="79"/>
      <c r="C12" s="79"/>
      <c r="D12" s="79"/>
      <c r="E12" s="79"/>
      <c r="F12" s="79"/>
      <c r="G12" s="79"/>
      <c r="H12" s="79"/>
      <c r="I12" s="185"/>
      <c r="J12" s="185"/>
      <c r="K12" s="186"/>
      <c r="L12" s="186"/>
      <c r="M12" s="186"/>
      <c r="N12" s="186"/>
      <c r="O12" s="186"/>
    </row>
    <row r="13" spans="1:15" ht="31.5">
      <c r="A13" s="209" t="s">
        <v>464</v>
      </c>
      <c r="B13" s="79">
        <v>39</v>
      </c>
      <c r="C13" s="79">
        <v>57</v>
      </c>
      <c r="D13" s="79">
        <v>59</v>
      </c>
      <c r="E13" s="79">
        <v>86</v>
      </c>
      <c r="F13" s="79">
        <v>86</v>
      </c>
      <c r="G13" s="79">
        <v>86</v>
      </c>
      <c r="H13" s="79">
        <v>86</v>
      </c>
      <c r="I13" s="185">
        <v>2847.02</v>
      </c>
      <c r="J13" s="185">
        <v>2839.9</v>
      </c>
      <c r="K13" s="186">
        <v>4239.31</v>
      </c>
      <c r="L13" s="186">
        <v>4621.05</v>
      </c>
      <c r="M13" s="186">
        <v>4621.05</v>
      </c>
      <c r="N13" s="186">
        <v>4621.05</v>
      </c>
      <c r="O13" s="186">
        <v>4621.05</v>
      </c>
    </row>
    <row r="14" spans="1:15" ht="51" customHeight="1">
      <c r="A14" s="198" t="s">
        <v>477</v>
      </c>
      <c r="B14" s="79"/>
      <c r="C14" s="79"/>
      <c r="D14" s="79"/>
      <c r="E14" s="79"/>
      <c r="F14" s="79"/>
      <c r="G14" s="79"/>
      <c r="H14" s="79"/>
      <c r="I14" s="185"/>
      <c r="J14" s="185"/>
      <c r="K14" s="186"/>
      <c r="L14" s="186"/>
      <c r="M14" s="186"/>
      <c r="N14" s="186"/>
      <c r="O14" s="186"/>
    </row>
    <row r="15" spans="1:15" ht="47.25">
      <c r="A15" s="209" t="s">
        <v>465</v>
      </c>
      <c r="B15" s="79">
        <v>31</v>
      </c>
      <c r="C15" s="79">
        <v>31</v>
      </c>
      <c r="D15" s="79">
        <v>14</v>
      </c>
      <c r="E15" s="79">
        <v>22</v>
      </c>
      <c r="F15" s="79">
        <v>22</v>
      </c>
      <c r="G15" s="79">
        <v>22</v>
      </c>
      <c r="H15" s="79">
        <v>22</v>
      </c>
      <c r="I15" s="185">
        <v>2847.02</v>
      </c>
      <c r="J15" s="185">
        <v>3836.9</v>
      </c>
      <c r="K15" s="186">
        <v>447.65</v>
      </c>
      <c r="L15" s="186">
        <v>860.69</v>
      </c>
      <c r="M15" s="186">
        <v>860.69</v>
      </c>
      <c r="N15" s="186">
        <v>860.69</v>
      </c>
      <c r="O15" s="186">
        <v>860.69</v>
      </c>
    </row>
    <row r="16" spans="1:15" ht="31.5">
      <c r="A16" s="198" t="s">
        <v>439</v>
      </c>
      <c r="B16" s="79"/>
      <c r="C16" s="79"/>
      <c r="D16" s="79"/>
      <c r="E16" s="79"/>
      <c r="F16" s="79"/>
      <c r="G16" s="79"/>
      <c r="H16" s="79"/>
      <c r="I16" s="185"/>
      <c r="J16" s="185"/>
      <c r="K16" s="186"/>
      <c r="L16" s="186"/>
      <c r="M16" s="186"/>
      <c r="N16" s="186"/>
      <c r="O16" s="186"/>
    </row>
    <row r="17" spans="1:15" ht="15.75">
      <c r="A17" s="210" t="s">
        <v>440</v>
      </c>
      <c r="B17" s="79">
        <v>138</v>
      </c>
      <c r="C17" s="79">
        <v>138</v>
      </c>
      <c r="D17" s="79">
        <v>186</v>
      </c>
      <c r="E17" s="79">
        <v>206</v>
      </c>
      <c r="F17" s="79">
        <v>206</v>
      </c>
      <c r="G17" s="79">
        <v>206</v>
      </c>
      <c r="H17" s="79">
        <v>206</v>
      </c>
      <c r="I17" s="185">
        <v>8438.92</v>
      </c>
      <c r="J17" s="185">
        <v>9290.1</v>
      </c>
      <c r="K17" s="186">
        <v>12741.73</v>
      </c>
      <c r="L17" s="186">
        <v>14489.24</v>
      </c>
      <c r="M17" s="186">
        <v>14489.24</v>
      </c>
      <c r="N17" s="186">
        <v>14489.24</v>
      </c>
      <c r="O17" s="186">
        <v>14489.24</v>
      </c>
    </row>
  </sheetData>
  <sheetProtection/>
  <mergeCells count="5">
    <mergeCell ref="A3:A4"/>
    <mergeCell ref="B3:H3"/>
    <mergeCell ref="I3:O3"/>
    <mergeCell ref="A2:O2"/>
    <mergeCell ref="I1:O1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72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31"/>
  <sheetViews>
    <sheetView view="pageBreakPreview" zoomScale="83" zoomScaleNormal="79" zoomScaleSheetLayoutView="83" workbookViewId="0" topLeftCell="A1">
      <pane ySplit="5" topLeftCell="A6" activePane="bottomLeft" state="frozen"/>
      <selection pane="topLeft" activeCell="A1" sqref="A1"/>
      <selection pane="bottomLeft" activeCell="C3" sqref="C3:C5"/>
    </sheetView>
  </sheetViews>
  <sheetFormatPr defaultColWidth="9.00390625" defaultRowHeight="12.75"/>
  <cols>
    <col min="1" max="1" width="6.25390625" style="70" customWidth="1"/>
    <col min="2" max="2" width="79.125" style="1" customWidth="1"/>
    <col min="3" max="3" width="12.00390625" style="1" customWidth="1"/>
    <col min="4" max="4" width="11.375" style="1" hidden="1" customWidth="1"/>
    <col min="5" max="9" width="11.375" style="1" customWidth="1"/>
    <col min="10" max="16384" width="9.125" style="1" customWidth="1"/>
  </cols>
  <sheetData>
    <row r="1" spans="1:10" ht="81.75" customHeight="1">
      <c r="A1" s="59"/>
      <c r="B1" s="30"/>
      <c r="C1" s="49"/>
      <c r="E1" s="249" t="s">
        <v>524</v>
      </c>
      <c r="F1" s="249"/>
      <c r="G1" s="249"/>
      <c r="H1" s="249"/>
      <c r="I1" s="249"/>
      <c r="J1" s="249"/>
    </row>
    <row r="2" spans="1:8" ht="37.5" customHeight="1">
      <c r="A2" s="245" t="s">
        <v>546</v>
      </c>
      <c r="B2" s="245"/>
      <c r="C2" s="245"/>
      <c r="D2" s="245"/>
      <c r="E2" s="245"/>
      <c r="F2" s="245"/>
      <c r="G2" s="245"/>
      <c r="H2" s="245"/>
    </row>
    <row r="3" spans="1:10" ht="25.5" customHeight="1">
      <c r="A3" s="302" t="s">
        <v>131</v>
      </c>
      <c r="B3" s="305" t="s">
        <v>401</v>
      </c>
      <c r="C3" s="305" t="s">
        <v>127</v>
      </c>
      <c r="D3" s="264" t="s">
        <v>161</v>
      </c>
      <c r="E3" s="264" t="s">
        <v>157</v>
      </c>
      <c r="F3" s="264" t="s">
        <v>162</v>
      </c>
      <c r="G3" s="264" t="s">
        <v>163</v>
      </c>
      <c r="H3" s="264" t="s">
        <v>164</v>
      </c>
      <c r="I3" s="264" t="s">
        <v>165</v>
      </c>
      <c r="J3" s="264" t="s">
        <v>166</v>
      </c>
    </row>
    <row r="4" spans="1:10" ht="25.5" customHeight="1">
      <c r="A4" s="303"/>
      <c r="B4" s="306"/>
      <c r="C4" s="306"/>
      <c r="D4" s="289"/>
      <c r="E4" s="289"/>
      <c r="F4" s="289"/>
      <c r="G4" s="289"/>
      <c r="H4" s="289"/>
      <c r="I4" s="289"/>
      <c r="J4" s="289"/>
    </row>
    <row r="5" spans="1:10" ht="25.5" customHeight="1">
      <c r="A5" s="304"/>
      <c r="B5" s="307"/>
      <c r="C5" s="307"/>
      <c r="D5" s="265"/>
      <c r="E5" s="265"/>
      <c r="F5" s="265"/>
      <c r="G5" s="265"/>
      <c r="H5" s="265"/>
      <c r="I5" s="265"/>
      <c r="J5" s="265"/>
    </row>
    <row r="6" spans="1:10" ht="39.75" customHeight="1">
      <c r="A6" s="236" t="s">
        <v>87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33" customHeight="1">
      <c r="A7" s="295" t="s">
        <v>409</v>
      </c>
      <c r="B7" s="296"/>
      <c r="C7" s="296"/>
      <c r="D7" s="296"/>
      <c r="E7" s="296"/>
      <c r="F7" s="296"/>
      <c r="G7" s="296"/>
      <c r="H7" s="296"/>
      <c r="I7" s="296"/>
      <c r="J7" s="296"/>
    </row>
    <row r="8" spans="1:10" ht="33.75" customHeight="1">
      <c r="A8" s="36" t="s">
        <v>443</v>
      </c>
      <c r="B8" s="143" t="s">
        <v>200</v>
      </c>
      <c r="C8" s="14" t="s">
        <v>125</v>
      </c>
      <c r="D8" s="149">
        <v>546.3</v>
      </c>
      <c r="E8" s="12">
        <v>284.5</v>
      </c>
      <c r="F8" s="12">
        <v>312.6</v>
      </c>
      <c r="G8" s="201">
        <v>449.4</v>
      </c>
      <c r="H8" s="201">
        <v>485.6</v>
      </c>
      <c r="I8" s="201">
        <v>485.6</v>
      </c>
      <c r="J8" s="201">
        <v>485.6</v>
      </c>
    </row>
    <row r="9" spans="1:10" ht="84" customHeight="1">
      <c r="A9" s="36" t="s">
        <v>376</v>
      </c>
      <c r="B9" s="65" t="s">
        <v>77</v>
      </c>
      <c r="C9" s="69" t="s">
        <v>125</v>
      </c>
      <c r="D9" s="199">
        <v>80</v>
      </c>
      <c r="E9" s="200">
        <v>71.26</v>
      </c>
      <c r="F9" s="200">
        <v>82.57</v>
      </c>
      <c r="G9" s="200">
        <v>100</v>
      </c>
      <c r="H9" s="200">
        <v>100</v>
      </c>
      <c r="I9" s="200">
        <v>100</v>
      </c>
      <c r="J9" s="200">
        <v>100</v>
      </c>
    </row>
    <row r="10" spans="1:10" ht="105.75" customHeight="1">
      <c r="A10" s="36" t="s">
        <v>486</v>
      </c>
      <c r="B10" s="65" t="s">
        <v>59</v>
      </c>
      <c r="C10" s="14" t="s">
        <v>125</v>
      </c>
      <c r="D10" s="14" t="s">
        <v>121</v>
      </c>
      <c r="E10" s="14">
        <v>0</v>
      </c>
      <c r="F10" s="14">
        <v>60</v>
      </c>
      <c r="G10" s="14">
        <v>100</v>
      </c>
      <c r="H10" s="14">
        <v>100</v>
      </c>
      <c r="I10" s="14">
        <v>100</v>
      </c>
      <c r="J10" s="200">
        <v>100</v>
      </c>
    </row>
    <row r="11" spans="1:10" ht="98.25" customHeight="1">
      <c r="A11" s="36" t="s">
        <v>378</v>
      </c>
      <c r="B11" s="65" t="s">
        <v>202</v>
      </c>
      <c r="C11" s="14" t="s">
        <v>125</v>
      </c>
      <c r="D11" s="14" t="s">
        <v>121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95.25" customHeight="1">
      <c r="A12" s="36" t="s">
        <v>444</v>
      </c>
      <c r="B12" s="65" t="s">
        <v>60</v>
      </c>
      <c r="C12" s="14" t="s">
        <v>125</v>
      </c>
      <c r="D12" s="14" t="s">
        <v>121</v>
      </c>
      <c r="E12" s="14">
        <v>0</v>
      </c>
      <c r="F12" s="14">
        <v>33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95.25" customHeight="1">
      <c r="A13" s="36" t="s">
        <v>379</v>
      </c>
      <c r="B13" s="65" t="s">
        <v>245</v>
      </c>
      <c r="C13" s="14" t="s">
        <v>125</v>
      </c>
      <c r="D13" s="14"/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</row>
    <row r="14" spans="1:10" ht="45.75" customHeight="1">
      <c r="A14" s="297" t="s">
        <v>410</v>
      </c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0" ht="85.5" customHeight="1">
      <c r="A15" s="36" t="s">
        <v>264</v>
      </c>
      <c r="B15" s="65" t="s">
        <v>88</v>
      </c>
      <c r="C15" s="31" t="s">
        <v>125</v>
      </c>
      <c r="D15" s="68">
        <v>15.6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</row>
    <row r="16" spans="1:10" ht="74.25" customHeight="1">
      <c r="A16" s="36" t="s">
        <v>445</v>
      </c>
      <c r="B16" s="65" t="s">
        <v>120</v>
      </c>
      <c r="C16" s="31" t="s">
        <v>125</v>
      </c>
      <c r="D16" s="68">
        <v>83.66</v>
      </c>
      <c r="E16" s="68">
        <v>100</v>
      </c>
      <c r="F16" s="68">
        <v>100</v>
      </c>
      <c r="G16" s="68">
        <v>100</v>
      </c>
      <c r="H16" s="68">
        <v>100</v>
      </c>
      <c r="I16" s="68">
        <v>100</v>
      </c>
      <c r="J16" s="68">
        <v>100</v>
      </c>
    </row>
    <row r="17" spans="1:10" ht="41.25" customHeight="1">
      <c r="A17" s="36" t="s">
        <v>446</v>
      </c>
      <c r="B17" s="65" t="s">
        <v>137</v>
      </c>
      <c r="C17" s="31" t="s">
        <v>125</v>
      </c>
      <c r="D17" s="39">
        <v>90</v>
      </c>
      <c r="E17" s="39">
        <v>100</v>
      </c>
      <c r="F17" s="39">
        <v>100</v>
      </c>
      <c r="G17" s="39">
        <v>100</v>
      </c>
      <c r="H17" s="39">
        <v>100</v>
      </c>
      <c r="I17" s="39">
        <v>100</v>
      </c>
      <c r="J17" s="39">
        <v>100</v>
      </c>
    </row>
    <row r="18" spans="1:10" ht="72.75" customHeight="1">
      <c r="A18" s="36" t="s">
        <v>382</v>
      </c>
      <c r="B18" s="142" t="s">
        <v>526</v>
      </c>
      <c r="C18" s="31" t="s">
        <v>125</v>
      </c>
      <c r="D18" s="31">
        <v>1.96</v>
      </c>
      <c r="E18" s="31">
        <v>1.86</v>
      </c>
      <c r="F18" s="60" t="s">
        <v>484</v>
      </c>
      <c r="G18" s="31">
        <v>5.23</v>
      </c>
      <c r="H18" s="31">
        <v>5.21</v>
      </c>
      <c r="I18" s="31">
        <v>5.21</v>
      </c>
      <c r="J18" s="14">
        <v>5.21</v>
      </c>
    </row>
    <row r="19" spans="1:10" s="67" customFormat="1" ht="68.25" customHeight="1">
      <c r="A19" s="36" t="s">
        <v>191</v>
      </c>
      <c r="B19" s="65" t="s">
        <v>89</v>
      </c>
      <c r="C19" s="14" t="s">
        <v>125</v>
      </c>
      <c r="D19" s="41">
        <v>2.34</v>
      </c>
      <c r="E19" s="41">
        <v>5.5</v>
      </c>
      <c r="F19" s="41">
        <v>5.4</v>
      </c>
      <c r="G19" s="41">
        <v>7.84</v>
      </c>
      <c r="H19" s="41">
        <v>1.75</v>
      </c>
      <c r="I19" s="41">
        <v>1.75</v>
      </c>
      <c r="J19" s="14">
        <v>0</v>
      </c>
    </row>
    <row r="20" spans="1:10" ht="65.25" customHeight="1">
      <c r="A20" s="36" t="s">
        <v>265</v>
      </c>
      <c r="B20" s="65" t="s">
        <v>111</v>
      </c>
      <c r="C20" s="31" t="s">
        <v>125</v>
      </c>
      <c r="D20" s="68">
        <v>9.78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</row>
    <row r="21" spans="1:10" ht="82.5" customHeight="1">
      <c r="A21" s="36" t="s">
        <v>488</v>
      </c>
      <c r="B21" s="65" t="s">
        <v>198</v>
      </c>
      <c r="C21" s="37" t="s">
        <v>125</v>
      </c>
      <c r="D21" s="37">
        <v>83</v>
      </c>
      <c r="E21" s="37">
        <v>59.3</v>
      </c>
      <c r="F21" s="37">
        <v>81.5</v>
      </c>
      <c r="G21" s="37">
        <v>92.6</v>
      </c>
      <c r="H21" s="37">
        <v>100</v>
      </c>
      <c r="I21" s="37">
        <v>100</v>
      </c>
      <c r="J21" s="14">
        <v>100</v>
      </c>
    </row>
    <row r="22" spans="1:10" ht="72.75" customHeight="1">
      <c r="A22" s="36" t="s">
        <v>489</v>
      </c>
      <c r="B22" s="65" t="s">
        <v>393</v>
      </c>
      <c r="C22" s="37" t="s">
        <v>125</v>
      </c>
      <c r="D22" s="31">
        <v>35</v>
      </c>
      <c r="E22" s="37">
        <v>59.3</v>
      </c>
      <c r="F22" s="37">
        <v>81.5</v>
      </c>
      <c r="G22" s="37">
        <v>82.3</v>
      </c>
      <c r="H22" s="37">
        <v>92.6</v>
      </c>
      <c r="I22" s="37">
        <v>95.3</v>
      </c>
      <c r="J22" s="14">
        <v>95.3</v>
      </c>
    </row>
    <row r="23" spans="1:10" ht="88.5" customHeight="1">
      <c r="A23" s="36" t="s">
        <v>490</v>
      </c>
      <c r="B23" s="65" t="s">
        <v>392</v>
      </c>
      <c r="C23" s="37" t="s">
        <v>125</v>
      </c>
      <c r="D23" s="31">
        <v>45</v>
      </c>
      <c r="E23" s="31">
        <v>0</v>
      </c>
      <c r="F23" s="31">
        <v>0</v>
      </c>
      <c r="G23" s="31">
        <v>0</v>
      </c>
      <c r="H23" s="31">
        <v>7.1</v>
      </c>
      <c r="I23" s="31">
        <v>7.1</v>
      </c>
      <c r="J23" s="14">
        <v>7.1</v>
      </c>
    </row>
    <row r="24" spans="1:10" ht="63.75" customHeight="1">
      <c r="A24" s="36" t="s">
        <v>491</v>
      </c>
      <c r="B24" s="65" t="s">
        <v>119</v>
      </c>
      <c r="C24" s="37" t="s">
        <v>125</v>
      </c>
      <c r="D24" s="31">
        <v>1</v>
      </c>
      <c r="E24" s="31">
        <v>36.4</v>
      </c>
      <c r="F24" s="31">
        <v>72.7</v>
      </c>
      <c r="G24" s="31">
        <v>72.7</v>
      </c>
      <c r="H24" s="31">
        <v>72.7</v>
      </c>
      <c r="I24" s="31">
        <v>72.7</v>
      </c>
      <c r="J24" s="14">
        <v>72.7</v>
      </c>
    </row>
    <row r="25" spans="1:10" ht="94.5">
      <c r="A25" s="36" t="s">
        <v>499</v>
      </c>
      <c r="B25" s="142" t="s">
        <v>90</v>
      </c>
      <c r="C25" s="31" t="s">
        <v>125</v>
      </c>
      <c r="D25" s="31" t="s">
        <v>121</v>
      </c>
      <c r="E25" s="31" t="s">
        <v>121</v>
      </c>
      <c r="F25" s="31">
        <v>63.6</v>
      </c>
      <c r="G25" s="31">
        <v>100</v>
      </c>
      <c r="H25" s="31">
        <v>100</v>
      </c>
      <c r="I25" s="31">
        <v>100</v>
      </c>
      <c r="J25" s="31">
        <v>100</v>
      </c>
    </row>
    <row r="26" spans="1:10" ht="44.25" customHeight="1">
      <c r="A26" s="297" t="s">
        <v>51</v>
      </c>
      <c r="B26" s="298"/>
      <c r="C26" s="298"/>
      <c r="D26" s="298"/>
      <c r="E26" s="298"/>
      <c r="F26" s="298"/>
      <c r="G26" s="298"/>
      <c r="H26" s="298"/>
      <c r="I26" s="298"/>
      <c r="J26" s="298"/>
    </row>
    <row r="27" spans="1:10" ht="52.5" customHeight="1">
      <c r="A27" s="60" t="s">
        <v>493</v>
      </c>
      <c r="B27" s="142" t="s">
        <v>201</v>
      </c>
      <c r="C27" s="14" t="s">
        <v>125</v>
      </c>
      <c r="D27" s="31">
        <v>78.4</v>
      </c>
      <c r="E27" s="31">
        <v>69.8</v>
      </c>
      <c r="F27" s="31">
        <v>70</v>
      </c>
      <c r="G27" s="31">
        <v>70.2</v>
      </c>
      <c r="H27" s="31">
        <v>70.4</v>
      </c>
      <c r="I27" s="31">
        <v>70.7</v>
      </c>
      <c r="J27" s="31">
        <v>70.8</v>
      </c>
    </row>
    <row r="28" spans="1:8" ht="42" customHeight="1">
      <c r="A28" s="299" t="s">
        <v>437</v>
      </c>
      <c r="B28" s="300"/>
      <c r="C28" s="300"/>
      <c r="D28" s="300"/>
      <c r="E28" s="300"/>
      <c r="F28" s="300"/>
      <c r="G28" s="300"/>
      <c r="H28" s="301"/>
    </row>
    <row r="29" spans="1:10" ht="15.75">
      <c r="A29" s="42" t="s">
        <v>492</v>
      </c>
      <c r="B29" s="142" t="s">
        <v>146</v>
      </c>
      <c r="C29" s="31" t="s">
        <v>125</v>
      </c>
      <c r="D29" s="38">
        <v>82.9</v>
      </c>
      <c r="E29" s="38">
        <v>89.6</v>
      </c>
      <c r="F29" s="38">
        <v>89.6</v>
      </c>
      <c r="G29" s="38">
        <v>94.8</v>
      </c>
      <c r="H29" s="38">
        <v>94.8</v>
      </c>
      <c r="I29" s="38">
        <v>94.8</v>
      </c>
      <c r="J29" s="38">
        <v>94.8</v>
      </c>
    </row>
    <row r="30" spans="1:9" ht="20.25" customHeight="1">
      <c r="A30" s="92"/>
      <c r="B30" s="74"/>
      <c r="C30" s="75"/>
      <c r="D30" s="78"/>
      <c r="E30" s="78"/>
      <c r="F30" s="78"/>
      <c r="G30" s="78"/>
      <c r="H30" s="78"/>
      <c r="I30" s="78"/>
    </row>
    <row r="31" spans="1:9" ht="26.25" customHeight="1">
      <c r="A31" s="71"/>
      <c r="B31" s="71"/>
      <c r="C31" s="71"/>
      <c r="F31" s="84"/>
      <c r="G31" s="67"/>
      <c r="H31" s="72"/>
      <c r="I31" s="72"/>
    </row>
  </sheetData>
  <sheetProtection/>
  <mergeCells count="17">
    <mergeCell ref="A28:H28"/>
    <mergeCell ref="A2:H2"/>
    <mergeCell ref="F3:F5"/>
    <mergeCell ref="G3:G5"/>
    <mergeCell ref="H3:H5"/>
    <mergeCell ref="A3:A5"/>
    <mergeCell ref="B3:B5"/>
    <mergeCell ref="C3:C5"/>
    <mergeCell ref="D3:D5"/>
    <mergeCell ref="E3:E5"/>
    <mergeCell ref="J3:J5"/>
    <mergeCell ref="A6:J6"/>
    <mergeCell ref="A7:J7"/>
    <mergeCell ref="A14:J14"/>
    <mergeCell ref="A26:J26"/>
    <mergeCell ref="E1:J1"/>
    <mergeCell ref="I3:I5"/>
  </mergeCells>
  <printOptions/>
  <pageMargins left="0.5118110236220472" right="0.5118110236220472" top="0.5511811023622047" bottom="0.35433070866141736" header="0.31496062992125984" footer="0.31496062992125984"/>
  <pageSetup fitToHeight="4" fitToWidth="1" horizontalDpi="600" verticalDpi="600" orientation="landscape" paperSize="9" scale="84" r:id="rId3"/>
  <headerFooter differentFirst="1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29"/>
  <sheetViews>
    <sheetView view="pageBreakPreview" zoomScale="70" zoomScaleSheetLayoutView="70" workbookViewId="0" topLeftCell="A1">
      <selection activeCell="A6" sqref="A6:N6"/>
    </sheetView>
  </sheetViews>
  <sheetFormatPr defaultColWidth="9.00390625" defaultRowHeight="12.75"/>
  <cols>
    <col min="1" max="1" width="13.00390625" style="6" customWidth="1"/>
    <col min="2" max="2" width="47.125" style="91" customWidth="1"/>
    <col min="3" max="3" width="21.875" style="67" customWidth="1"/>
    <col min="4" max="5" width="9.125" style="7" customWidth="1"/>
    <col min="6" max="6" width="12.00390625" style="7" customWidth="1"/>
    <col min="7" max="7" width="9.125" style="7" customWidth="1"/>
    <col min="8" max="13" width="17.875" style="161" customWidth="1"/>
    <col min="14" max="14" width="55.625" style="1" customWidth="1"/>
    <col min="15" max="15" width="12.00390625" style="1" customWidth="1"/>
    <col min="16" max="16" width="15.375" style="1" customWidth="1"/>
    <col min="17" max="17" width="21.125" style="1" customWidth="1"/>
    <col min="18" max="16384" width="9.125" style="1" customWidth="1"/>
  </cols>
  <sheetData>
    <row r="1" spans="1:17" s="3" customFormat="1" ht="88.5" customHeight="1">
      <c r="A1" s="2"/>
      <c r="B1" s="170"/>
      <c r="C1" s="76"/>
      <c r="D1" s="4"/>
      <c r="E1" s="4"/>
      <c r="F1" s="4"/>
      <c r="G1" s="4"/>
      <c r="H1" s="341"/>
      <c r="I1" s="341"/>
      <c r="J1" s="156"/>
      <c r="K1" s="156"/>
      <c r="L1" s="156"/>
      <c r="M1" s="249" t="s">
        <v>537</v>
      </c>
      <c r="N1" s="249"/>
      <c r="O1" s="174"/>
      <c r="P1" s="174"/>
      <c r="Q1" s="174"/>
    </row>
    <row r="2" spans="1:14" s="3" customFormat="1" ht="23.25" customHeight="1">
      <c r="A2" s="339" t="s">
        <v>547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3" customFormat="1" ht="24.75" customHeight="1">
      <c r="A3" s="235" t="s">
        <v>131</v>
      </c>
      <c r="B3" s="281" t="s">
        <v>145</v>
      </c>
      <c r="C3" s="235" t="s">
        <v>221</v>
      </c>
      <c r="D3" s="235" t="s">
        <v>220</v>
      </c>
      <c r="E3" s="235"/>
      <c r="F3" s="235"/>
      <c r="G3" s="235"/>
      <c r="H3" s="340" t="s">
        <v>225</v>
      </c>
      <c r="I3" s="340"/>
      <c r="J3" s="340"/>
      <c r="K3" s="340"/>
      <c r="L3" s="340"/>
      <c r="M3" s="340"/>
      <c r="N3" s="235" t="s">
        <v>291</v>
      </c>
    </row>
    <row r="4" spans="1:14" s="3" customFormat="1" ht="42" customHeight="1">
      <c r="A4" s="235"/>
      <c r="B4" s="281"/>
      <c r="C4" s="235"/>
      <c r="D4" s="11" t="s">
        <v>221</v>
      </c>
      <c r="E4" s="11" t="s">
        <v>222</v>
      </c>
      <c r="F4" s="11" t="s">
        <v>223</v>
      </c>
      <c r="G4" s="11" t="s">
        <v>224</v>
      </c>
      <c r="H4" s="88">
        <v>2014</v>
      </c>
      <c r="I4" s="88">
        <v>2015</v>
      </c>
      <c r="J4" s="88">
        <v>2016</v>
      </c>
      <c r="K4" s="88" t="s">
        <v>268</v>
      </c>
      <c r="L4" s="88" t="s">
        <v>518</v>
      </c>
      <c r="M4" s="157" t="s">
        <v>226</v>
      </c>
      <c r="N4" s="235"/>
    </row>
    <row r="5" spans="1:14" ht="26.25" customHeight="1">
      <c r="A5" s="346" t="s">
        <v>292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1:14" ht="24" customHeight="1">
      <c r="A6" s="336" t="s">
        <v>409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</row>
    <row r="7" spans="1:14" ht="36" customHeight="1">
      <c r="A7" s="317" t="s">
        <v>443</v>
      </c>
      <c r="B7" s="324" t="s">
        <v>307</v>
      </c>
      <c r="C7" s="264" t="s">
        <v>112</v>
      </c>
      <c r="D7" s="308" t="s">
        <v>38</v>
      </c>
      <c r="E7" s="264" t="s">
        <v>281</v>
      </c>
      <c r="F7" s="308" t="s">
        <v>303</v>
      </c>
      <c r="G7" s="88" t="s">
        <v>288</v>
      </c>
      <c r="H7" s="178">
        <v>5103.08</v>
      </c>
      <c r="I7" s="178">
        <v>5217.9</v>
      </c>
      <c r="J7" s="212">
        <v>6303.2</v>
      </c>
      <c r="K7" s="212">
        <v>6303.2</v>
      </c>
      <c r="L7" s="212">
        <v>6303.2</v>
      </c>
      <c r="M7" s="212">
        <f>SUM(H7:L7)</f>
        <v>29230.6</v>
      </c>
      <c r="N7" s="350" t="s">
        <v>534</v>
      </c>
    </row>
    <row r="8" spans="1:14" ht="36" customHeight="1">
      <c r="A8" s="318"/>
      <c r="B8" s="342"/>
      <c r="C8" s="289"/>
      <c r="D8" s="316"/>
      <c r="E8" s="289"/>
      <c r="F8" s="316"/>
      <c r="G8" s="88" t="s">
        <v>184</v>
      </c>
      <c r="H8" s="178">
        <v>1.82</v>
      </c>
      <c r="I8" s="178"/>
      <c r="J8" s="212"/>
      <c r="K8" s="212"/>
      <c r="L8" s="212"/>
      <c r="M8" s="212">
        <f aca="true" t="shared" si="0" ref="M8:M41">SUM(H8:L8)</f>
        <v>1.8</v>
      </c>
      <c r="N8" s="289"/>
    </row>
    <row r="9" spans="1:14" ht="36" customHeight="1">
      <c r="A9" s="318"/>
      <c r="B9" s="342"/>
      <c r="C9" s="289"/>
      <c r="D9" s="316"/>
      <c r="E9" s="289"/>
      <c r="F9" s="316"/>
      <c r="G9" s="88" t="s">
        <v>286</v>
      </c>
      <c r="H9" s="178">
        <v>3720.52</v>
      </c>
      <c r="I9" s="178">
        <f>3507.1+100-10</f>
        <v>3597.1</v>
      </c>
      <c r="J9" s="212">
        <v>6380.2</v>
      </c>
      <c r="K9" s="212">
        <v>6380.2</v>
      </c>
      <c r="L9" s="212">
        <v>6380.2</v>
      </c>
      <c r="M9" s="212">
        <f t="shared" si="0"/>
        <v>26458.2</v>
      </c>
      <c r="N9" s="289"/>
    </row>
    <row r="10" spans="1:14" ht="35.25" customHeight="1">
      <c r="A10" s="318"/>
      <c r="B10" s="342"/>
      <c r="C10" s="289"/>
      <c r="D10" s="316"/>
      <c r="E10" s="289"/>
      <c r="F10" s="316"/>
      <c r="G10" s="88" t="s">
        <v>188</v>
      </c>
      <c r="H10" s="178">
        <v>6205.65</v>
      </c>
      <c r="I10" s="178">
        <v>6431.5</v>
      </c>
      <c r="J10" s="212">
        <v>14336</v>
      </c>
      <c r="K10" s="212">
        <v>14336</v>
      </c>
      <c r="L10" s="212">
        <v>14336</v>
      </c>
      <c r="M10" s="212">
        <f t="shared" si="0"/>
        <v>55645.2</v>
      </c>
      <c r="N10" s="289"/>
    </row>
    <row r="11" spans="1:14" ht="35.25" customHeight="1">
      <c r="A11" s="318"/>
      <c r="B11" s="342"/>
      <c r="C11" s="289"/>
      <c r="D11" s="316"/>
      <c r="E11" s="289"/>
      <c r="F11" s="316"/>
      <c r="G11" s="88" t="s">
        <v>290</v>
      </c>
      <c r="H11" s="178">
        <f>6510.23-H10</f>
        <v>304.58</v>
      </c>
      <c r="I11" s="178"/>
      <c r="J11" s="212"/>
      <c r="K11" s="212"/>
      <c r="L11" s="212"/>
      <c r="M11" s="212">
        <f t="shared" si="0"/>
        <v>304.6</v>
      </c>
      <c r="N11" s="289"/>
    </row>
    <row r="12" spans="1:14" ht="35.25" customHeight="1">
      <c r="A12" s="318"/>
      <c r="B12" s="342"/>
      <c r="C12" s="289"/>
      <c r="D12" s="316"/>
      <c r="E12" s="289"/>
      <c r="F12" s="316"/>
      <c r="G12" s="88" t="s">
        <v>254</v>
      </c>
      <c r="H12" s="178">
        <v>203</v>
      </c>
      <c r="I12" s="178"/>
      <c r="J12" s="212"/>
      <c r="K12" s="212"/>
      <c r="L12" s="212"/>
      <c r="M12" s="212">
        <f t="shared" si="0"/>
        <v>203</v>
      </c>
      <c r="N12" s="289"/>
    </row>
    <row r="13" spans="1:14" ht="35.25" customHeight="1">
      <c r="A13" s="318"/>
      <c r="B13" s="342"/>
      <c r="C13" s="289"/>
      <c r="D13" s="316"/>
      <c r="E13" s="289"/>
      <c r="F13" s="316"/>
      <c r="G13" s="88" t="s">
        <v>351</v>
      </c>
      <c r="H13" s="178">
        <v>4.71</v>
      </c>
      <c r="I13" s="178">
        <f>8+10</f>
        <v>18</v>
      </c>
      <c r="J13" s="212">
        <v>75</v>
      </c>
      <c r="K13" s="212">
        <v>75</v>
      </c>
      <c r="L13" s="212">
        <v>75</v>
      </c>
      <c r="M13" s="212">
        <f t="shared" si="0"/>
        <v>247.7</v>
      </c>
      <c r="N13" s="289"/>
    </row>
    <row r="14" spans="1:14" ht="70.5" customHeight="1">
      <c r="A14" s="319"/>
      <c r="B14" s="163" t="s">
        <v>506</v>
      </c>
      <c r="C14" s="11" t="s">
        <v>112</v>
      </c>
      <c r="D14" s="88" t="s">
        <v>38</v>
      </c>
      <c r="E14" s="11" t="s">
        <v>281</v>
      </c>
      <c r="F14" s="104" t="s">
        <v>505</v>
      </c>
      <c r="G14" s="88" t="s">
        <v>286</v>
      </c>
      <c r="H14" s="178"/>
      <c r="I14" s="178">
        <v>356.2</v>
      </c>
      <c r="J14" s="212"/>
      <c r="K14" s="212"/>
      <c r="L14" s="212"/>
      <c r="M14" s="212">
        <f t="shared" si="0"/>
        <v>356.2</v>
      </c>
      <c r="N14" s="289"/>
    </row>
    <row r="15" spans="1:14" ht="64.5" customHeight="1">
      <c r="A15" s="343" t="s">
        <v>376</v>
      </c>
      <c r="B15" s="349" t="s">
        <v>308</v>
      </c>
      <c r="C15" s="235" t="s">
        <v>112</v>
      </c>
      <c r="D15" s="344" t="s">
        <v>38</v>
      </c>
      <c r="E15" s="235" t="s">
        <v>281</v>
      </c>
      <c r="F15" s="308" t="s">
        <v>304</v>
      </c>
      <c r="G15" s="11">
        <v>111</v>
      </c>
      <c r="H15" s="178">
        <v>0.6</v>
      </c>
      <c r="I15" s="178">
        <v>0.6</v>
      </c>
      <c r="J15" s="212">
        <v>1.3</v>
      </c>
      <c r="K15" s="212">
        <v>1.3</v>
      </c>
      <c r="L15" s="212">
        <v>1.3</v>
      </c>
      <c r="M15" s="212">
        <f t="shared" si="0"/>
        <v>5.1</v>
      </c>
      <c r="N15" s="289"/>
    </row>
    <row r="16" spans="1:14" ht="64.5" customHeight="1">
      <c r="A16" s="343"/>
      <c r="B16" s="349"/>
      <c r="C16" s="235"/>
      <c r="D16" s="344"/>
      <c r="E16" s="235"/>
      <c r="F16" s="309"/>
      <c r="G16" s="11">
        <v>612</v>
      </c>
      <c r="H16" s="178">
        <v>0.6</v>
      </c>
      <c r="I16" s="178">
        <v>0.6</v>
      </c>
      <c r="J16" s="212">
        <v>1.2</v>
      </c>
      <c r="K16" s="212">
        <v>1.2</v>
      </c>
      <c r="L16" s="212">
        <v>1.2</v>
      </c>
      <c r="M16" s="212">
        <f t="shared" si="0"/>
        <v>4.8</v>
      </c>
      <c r="N16" s="289"/>
    </row>
    <row r="17" spans="1:14" ht="43.5" customHeight="1">
      <c r="A17" s="317" t="s">
        <v>377</v>
      </c>
      <c r="B17" s="324" t="s">
        <v>309</v>
      </c>
      <c r="C17" s="235" t="s">
        <v>112</v>
      </c>
      <c r="D17" s="344" t="s">
        <v>38</v>
      </c>
      <c r="E17" s="235" t="s">
        <v>281</v>
      </c>
      <c r="F17" s="308" t="s">
        <v>305</v>
      </c>
      <c r="G17" s="11">
        <v>111</v>
      </c>
      <c r="H17" s="178">
        <v>696.7</v>
      </c>
      <c r="I17" s="178">
        <v>914.2</v>
      </c>
      <c r="J17" s="212">
        <v>2567.1</v>
      </c>
      <c r="K17" s="212">
        <v>2567.1</v>
      </c>
      <c r="L17" s="212">
        <v>2567.1</v>
      </c>
      <c r="M17" s="212">
        <f t="shared" si="0"/>
        <v>9312.2</v>
      </c>
      <c r="N17" s="289"/>
    </row>
    <row r="18" spans="1:14" ht="43.5" customHeight="1">
      <c r="A18" s="318"/>
      <c r="B18" s="342"/>
      <c r="C18" s="235"/>
      <c r="D18" s="344"/>
      <c r="E18" s="235"/>
      <c r="F18" s="309"/>
      <c r="G18" s="11">
        <v>612</v>
      </c>
      <c r="H18" s="178">
        <v>368.25</v>
      </c>
      <c r="I18" s="178">
        <v>557.8</v>
      </c>
      <c r="J18" s="212">
        <f>2*1217.9</f>
        <v>2435.8</v>
      </c>
      <c r="K18" s="212">
        <v>1217.9</v>
      </c>
      <c r="L18" s="212">
        <v>1217.9</v>
      </c>
      <c r="M18" s="212">
        <f t="shared" si="0"/>
        <v>5797.7</v>
      </c>
      <c r="N18" s="289"/>
    </row>
    <row r="19" spans="1:14" ht="163.5" customHeight="1">
      <c r="A19" s="120" t="s">
        <v>378</v>
      </c>
      <c r="B19" s="164" t="s">
        <v>276</v>
      </c>
      <c r="C19" s="11" t="s">
        <v>112</v>
      </c>
      <c r="D19" s="88" t="s">
        <v>38</v>
      </c>
      <c r="E19" s="11" t="s">
        <v>281</v>
      </c>
      <c r="F19" s="104" t="s">
        <v>255</v>
      </c>
      <c r="G19" s="11">
        <v>612</v>
      </c>
      <c r="H19" s="178">
        <v>13.03</v>
      </c>
      <c r="I19" s="178"/>
      <c r="J19" s="212"/>
      <c r="K19" s="212"/>
      <c r="L19" s="212"/>
      <c r="M19" s="212">
        <f t="shared" si="0"/>
        <v>13</v>
      </c>
      <c r="N19" s="289"/>
    </row>
    <row r="20" spans="1:14" ht="30.75" customHeight="1">
      <c r="A20" s="317" t="s">
        <v>444</v>
      </c>
      <c r="B20" s="353" t="s">
        <v>310</v>
      </c>
      <c r="C20" s="264" t="s">
        <v>112</v>
      </c>
      <c r="D20" s="308" t="s">
        <v>38</v>
      </c>
      <c r="E20" s="264" t="s">
        <v>281</v>
      </c>
      <c r="F20" s="308" t="s">
        <v>306</v>
      </c>
      <c r="G20" s="11" t="s">
        <v>288</v>
      </c>
      <c r="H20" s="178">
        <f>4767.76-H22</f>
        <v>4608.13</v>
      </c>
      <c r="I20" s="178">
        <f>5971.14+94.4</f>
        <v>6065.54</v>
      </c>
      <c r="J20" s="212">
        <v>6030.7</v>
      </c>
      <c r="K20" s="212">
        <v>6030.7</v>
      </c>
      <c r="L20" s="212">
        <v>6030.7</v>
      </c>
      <c r="M20" s="212">
        <f t="shared" si="0"/>
        <v>28765.8</v>
      </c>
      <c r="N20" s="289"/>
    </row>
    <row r="21" spans="1:14" ht="30.75" customHeight="1">
      <c r="A21" s="318"/>
      <c r="B21" s="354"/>
      <c r="C21" s="289"/>
      <c r="D21" s="316"/>
      <c r="E21" s="289"/>
      <c r="F21" s="316"/>
      <c r="G21" s="11" t="s">
        <v>184</v>
      </c>
      <c r="H21" s="178"/>
      <c r="I21" s="178">
        <v>59.56</v>
      </c>
      <c r="J21" s="212"/>
      <c r="K21" s="212"/>
      <c r="L21" s="212"/>
      <c r="M21" s="212">
        <f t="shared" si="0"/>
        <v>59.6</v>
      </c>
      <c r="N21" s="289"/>
    </row>
    <row r="22" spans="1:14" ht="30.75" customHeight="1">
      <c r="A22" s="318"/>
      <c r="B22" s="354"/>
      <c r="C22" s="289"/>
      <c r="D22" s="316"/>
      <c r="E22" s="289"/>
      <c r="F22" s="316"/>
      <c r="G22" s="11" t="s">
        <v>425</v>
      </c>
      <c r="H22" s="178">
        <v>159.63</v>
      </c>
      <c r="I22" s="178"/>
      <c r="J22" s="212"/>
      <c r="K22" s="212"/>
      <c r="L22" s="212"/>
      <c r="M22" s="212">
        <f t="shared" si="0"/>
        <v>159.6</v>
      </c>
      <c r="N22" s="289"/>
    </row>
    <row r="23" spans="1:14" ht="30.75" customHeight="1">
      <c r="A23" s="318"/>
      <c r="B23" s="354"/>
      <c r="C23" s="289"/>
      <c r="D23" s="316"/>
      <c r="E23" s="289"/>
      <c r="F23" s="316"/>
      <c r="G23" s="11" t="s">
        <v>286</v>
      </c>
      <c r="H23" s="178">
        <v>182.64</v>
      </c>
      <c r="I23" s="178">
        <f>208.7+33.7</f>
        <v>242.4</v>
      </c>
      <c r="J23" s="212">
        <v>208.7</v>
      </c>
      <c r="K23" s="212">
        <v>208.7</v>
      </c>
      <c r="L23" s="212">
        <v>208.7</v>
      </c>
      <c r="M23" s="212">
        <f t="shared" si="0"/>
        <v>1051.1</v>
      </c>
      <c r="N23" s="289"/>
    </row>
    <row r="24" spans="1:14" ht="30.75" customHeight="1">
      <c r="A24" s="318"/>
      <c r="B24" s="354"/>
      <c r="C24" s="289"/>
      <c r="D24" s="316"/>
      <c r="E24" s="289"/>
      <c r="F24" s="316"/>
      <c r="G24" s="11" t="s">
        <v>188</v>
      </c>
      <c r="H24" s="178">
        <v>6536.08</v>
      </c>
      <c r="I24" s="178">
        <v>6739.8</v>
      </c>
      <c r="J24" s="212">
        <v>6739.8</v>
      </c>
      <c r="K24" s="212">
        <v>6739.8</v>
      </c>
      <c r="L24" s="212">
        <v>6739.8</v>
      </c>
      <c r="M24" s="212">
        <f t="shared" si="0"/>
        <v>33495.3</v>
      </c>
      <c r="N24" s="289"/>
    </row>
    <row r="25" spans="1:14" ht="30.75" customHeight="1">
      <c r="A25" s="319"/>
      <c r="B25" s="355"/>
      <c r="C25" s="265"/>
      <c r="D25" s="309"/>
      <c r="E25" s="265"/>
      <c r="F25" s="309"/>
      <c r="G25" s="11" t="s">
        <v>290</v>
      </c>
      <c r="H25" s="178">
        <v>85.42</v>
      </c>
      <c r="I25" s="178"/>
      <c r="J25" s="212"/>
      <c r="K25" s="212"/>
      <c r="L25" s="212"/>
      <c r="M25" s="212">
        <f t="shared" si="0"/>
        <v>85.4</v>
      </c>
      <c r="N25" s="265"/>
    </row>
    <row r="26" spans="1:14" ht="69.75" customHeight="1">
      <c r="A26" s="317" t="s">
        <v>379</v>
      </c>
      <c r="B26" s="284" t="s">
        <v>190</v>
      </c>
      <c r="C26" s="308" t="s">
        <v>36</v>
      </c>
      <c r="D26" s="317" t="s">
        <v>38</v>
      </c>
      <c r="E26" s="317" t="s">
        <v>281</v>
      </c>
      <c r="F26" s="317" t="s">
        <v>239</v>
      </c>
      <c r="G26" s="11" t="s">
        <v>288</v>
      </c>
      <c r="H26" s="178">
        <v>501.9</v>
      </c>
      <c r="I26" s="178">
        <v>438.1</v>
      </c>
      <c r="J26" s="212"/>
      <c r="K26" s="212"/>
      <c r="L26" s="212"/>
      <c r="M26" s="212">
        <f t="shared" si="0"/>
        <v>940</v>
      </c>
      <c r="N26" s="264" t="s">
        <v>270</v>
      </c>
    </row>
    <row r="27" spans="1:14" ht="69.75" customHeight="1">
      <c r="A27" s="319"/>
      <c r="B27" s="345" t="s">
        <v>189</v>
      </c>
      <c r="C27" s="309"/>
      <c r="D27" s="319"/>
      <c r="E27" s="319"/>
      <c r="F27" s="319"/>
      <c r="G27" s="11" t="s">
        <v>290</v>
      </c>
      <c r="H27" s="178">
        <v>432</v>
      </c>
      <c r="I27" s="178">
        <v>432</v>
      </c>
      <c r="J27" s="212"/>
      <c r="K27" s="212"/>
      <c r="L27" s="212"/>
      <c r="M27" s="212">
        <f t="shared" si="0"/>
        <v>864</v>
      </c>
      <c r="N27" s="265"/>
    </row>
    <row r="28" spans="1:15" ht="129.75" customHeight="1">
      <c r="A28" s="317" t="s">
        <v>380</v>
      </c>
      <c r="B28" s="324" t="s">
        <v>311</v>
      </c>
      <c r="C28" s="264" t="s">
        <v>36</v>
      </c>
      <c r="D28" s="308" t="s">
        <v>38</v>
      </c>
      <c r="E28" s="264" t="s">
        <v>283</v>
      </c>
      <c r="F28" s="308" t="s">
        <v>312</v>
      </c>
      <c r="G28" s="11">
        <v>244</v>
      </c>
      <c r="H28" s="178">
        <f>25.2+8.4</f>
        <v>33.6</v>
      </c>
      <c r="I28" s="178">
        <v>42</v>
      </c>
      <c r="J28" s="212">
        <v>42</v>
      </c>
      <c r="K28" s="212">
        <v>42</v>
      </c>
      <c r="L28" s="212">
        <v>42</v>
      </c>
      <c r="M28" s="212">
        <f t="shared" si="0"/>
        <v>201.6</v>
      </c>
      <c r="N28" s="264" t="s">
        <v>532</v>
      </c>
      <c r="O28" s="1">
        <v>2</v>
      </c>
    </row>
    <row r="29" spans="1:14" ht="129.75" customHeight="1">
      <c r="A29" s="319"/>
      <c r="B29" s="325"/>
      <c r="C29" s="265"/>
      <c r="D29" s="309"/>
      <c r="E29" s="265"/>
      <c r="F29" s="309"/>
      <c r="G29" s="11">
        <v>612</v>
      </c>
      <c r="H29" s="178">
        <v>33.6</v>
      </c>
      <c r="I29" s="178">
        <v>25.2</v>
      </c>
      <c r="J29" s="212">
        <v>25.2</v>
      </c>
      <c r="K29" s="212">
        <v>25.2</v>
      </c>
      <c r="L29" s="212">
        <v>25.2</v>
      </c>
      <c r="M29" s="212">
        <f t="shared" si="0"/>
        <v>134.4</v>
      </c>
      <c r="N29" s="265"/>
    </row>
    <row r="30" spans="1:14" ht="95.25" customHeight="1">
      <c r="A30" s="317" t="s">
        <v>381</v>
      </c>
      <c r="B30" s="284" t="s">
        <v>426</v>
      </c>
      <c r="C30" s="264" t="s">
        <v>36</v>
      </c>
      <c r="D30" s="308" t="s">
        <v>38</v>
      </c>
      <c r="E30" s="264" t="s">
        <v>369</v>
      </c>
      <c r="F30" s="308" t="s">
        <v>53</v>
      </c>
      <c r="G30" s="11">
        <v>244</v>
      </c>
      <c r="H30" s="178">
        <v>8.18</v>
      </c>
      <c r="I30" s="178">
        <f>8.18+0.18</f>
        <v>8.36</v>
      </c>
      <c r="J30" s="212">
        <v>8.2</v>
      </c>
      <c r="K30" s="212">
        <v>8.2</v>
      </c>
      <c r="L30" s="212">
        <v>8.2</v>
      </c>
      <c r="M30" s="212">
        <f t="shared" si="0"/>
        <v>41.1</v>
      </c>
      <c r="N30" s="264" t="s">
        <v>533</v>
      </c>
    </row>
    <row r="31" spans="1:15" ht="120" customHeight="1">
      <c r="A31" s="319"/>
      <c r="B31" s="345"/>
      <c r="C31" s="265"/>
      <c r="D31" s="309"/>
      <c r="E31" s="265"/>
      <c r="F31" s="309"/>
      <c r="G31" s="11">
        <v>321</v>
      </c>
      <c r="H31" s="178">
        <v>401.02</v>
      </c>
      <c r="I31" s="178">
        <f>401.02-0.18</f>
        <v>400.84</v>
      </c>
      <c r="J31" s="212">
        <v>401</v>
      </c>
      <c r="K31" s="212">
        <v>401</v>
      </c>
      <c r="L31" s="212">
        <v>401</v>
      </c>
      <c r="M31" s="212">
        <f t="shared" si="0"/>
        <v>2004.9</v>
      </c>
      <c r="N31" s="265"/>
      <c r="O31" s="1" t="s">
        <v>419</v>
      </c>
    </row>
    <row r="32" spans="1:14" ht="51" customHeight="1">
      <c r="A32" s="317" t="s">
        <v>512</v>
      </c>
      <c r="B32" s="264" t="s">
        <v>302</v>
      </c>
      <c r="C32" s="11" t="s">
        <v>33</v>
      </c>
      <c r="D32" s="88" t="s">
        <v>288</v>
      </c>
      <c r="E32" s="119" t="s">
        <v>281</v>
      </c>
      <c r="F32" s="88" t="s">
        <v>241</v>
      </c>
      <c r="G32" s="11">
        <v>412</v>
      </c>
      <c r="H32" s="216">
        <v>102866.4</v>
      </c>
      <c r="I32" s="178"/>
      <c r="J32" s="212"/>
      <c r="K32" s="212"/>
      <c r="L32" s="212"/>
      <c r="M32" s="212">
        <f t="shared" si="0"/>
        <v>102866.4</v>
      </c>
      <c r="N32" s="310" t="s">
        <v>483</v>
      </c>
    </row>
    <row r="33" spans="1:14" ht="51" customHeight="1">
      <c r="A33" s="320"/>
      <c r="B33" s="320"/>
      <c r="C33" s="119" t="s">
        <v>36</v>
      </c>
      <c r="D33" s="104" t="s">
        <v>38</v>
      </c>
      <c r="E33" s="119" t="s">
        <v>281</v>
      </c>
      <c r="F33" s="104" t="s">
        <v>362</v>
      </c>
      <c r="G33" s="119">
        <v>244</v>
      </c>
      <c r="H33" s="217">
        <v>97.5</v>
      </c>
      <c r="I33" s="214"/>
      <c r="J33" s="215"/>
      <c r="K33" s="215"/>
      <c r="L33" s="215"/>
      <c r="M33" s="212">
        <f t="shared" si="0"/>
        <v>97.5</v>
      </c>
      <c r="N33" s="311"/>
    </row>
    <row r="34" spans="1:14" ht="51" customHeight="1">
      <c r="A34" s="320"/>
      <c r="B34" s="320"/>
      <c r="C34" s="119" t="s">
        <v>41</v>
      </c>
      <c r="D34" s="104" t="s">
        <v>288</v>
      </c>
      <c r="E34" s="119" t="s">
        <v>281</v>
      </c>
      <c r="F34" s="104" t="s">
        <v>362</v>
      </c>
      <c r="G34" s="119">
        <v>244</v>
      </c>
      <c r="H34" s="217"/>
      <c r="I34" s="214"/>
      <c r="J34" s="215"/>
      <c r="K34" s="215"/>
      <c r="L34" s="215"/>
      <c r="M34" s="212">
        <f t="shared" si="0"/>
        <v>0</v>
      </c>
      <c r="N34" s="311"/>
    </row>
    <row r="35" spans="1:14" ht="51" customHeight="1">
      <c r="A35" s="320"/>
      <c r="B35" s="320"/>
      <c r="C35" s="119" t="s">
        <v>41</v>
      </c>
      <c r="D35" s="104" t="s">
        <v>288</v>
      </c>
      <c r="E35" s="119" t="s">
        <v>281</v>
      </c>
      <c r="F35" s="104" t="s">
        <v>242</v>
      </c>
      <c r="G35" s="119">
        <v>244</v>
      </c>
      <c r="H35" s="217">
        <v>2.68</v>
      </c>
      <c r="I35" s="214"/>
      <c r="J35" s="215"/>
      <c r="K35" s="215"/>
      <c r="L35" s="215"/>
      <c r="M35" s="212">
        <f t="shared" si="0"/>
        <v>2.7</v>
      </c>
      <c r="N35" s="311"/>
    </row>
    <row r="36" spans="1:14" ht="51" customHeight="1">
      <c r="A36" s="320"/>
      <c r="B36" s="320"/>
      <c r="C36" s="119" t="s">
        <v>41</v>
      </c>
      <c r="D36" s="104" t="s">
        <v>288</v>
      </c>
      <c r="E36" s="119" t="s">
        <v>281</v>
      </c>
      <c r="F36" s="104" t="s">
        <v>256</v>
      </c>
      <c r="G36" s="119">
        <v>244</v>
      </c>
      <c r="H36" s="217">
        <v>311.59</v>
      </c>
      <c r="I36" s="214"/>
      <c r="J36" s="215"/>
      <c r="K36" s="215"/>
      <c r="L36" s="215"/>
      <c r="M36" s="212">
        <f t="shared" si="0"/>
        <v>311.6</v>
      </c>
      <c r="N36" s="311"/>
    </row>
    <row r="37" spans="1:14" ht="51" customHeight="1">
      <c r="A37" s="320"/>
      <c r="B37" s="320"/>
      <c r="C37" s="119" t="s">
        <v>41</v>
      </c>
      <c r="D37" s="104" t="s">
        <v>288</v>
      </c>
      <c r="E37" s="119" t="s">
        <v>281</v>
      </c>
      <c r="F37" s="104" t="s">
        <v>257</v>
      </c>
      <c r="G37" s="119">
        <v>244</v>
      </c>
      <c r="H37" s="217">
        <v>2641.9</v>
      </c>
      <c r="I37" s="214"/>
      <c r="J37" s="215"/>
      <c r="K37" s="215"/>
      <c r="L37" s="215"/>
      <c r="M37" s="212">
        <f t="shared" si="0"/>
        <v>2641.9</v>
      </c>
      <c r="N37" s="311"/>
    </row>
    <row r="38" spans="1:14" ht="51" customHeight="1">
      <c r="A38" s="321"/>
      <c r="B38" s="321"/>
      <c r="C38" s="119" t="s">
        <v>41</v>
      </c>
      <c r="D38" s="104" t="s">
        <v>288</v>
      </c>
      <c r="E38" s="119" t="s">
        <v>281</v>
      </c>
      <c r="F38" s="104" t="s">
        <v>243</v>
      </c>
      <c r="G38" s="119">
        <v>244</v>
      </c>
      <c r="H38" s="217">
        <v>257.7</v>
      </c>
      <c r="I38" s="214"/>
      <c r="J38" s="215"/>
      <c r="K38" s="215"/>
      <c r="L38" s="215"/>
      <c r="M38" s="212">
        <f t="shared" si="0"/>
        <v>257.7</v>
      </c>
      <c r="N38" s="311"/>
    </row>
    <row r="39" spans="1:14" ht="193.5" customHeight="1">
      <c r="A39" s="36" t="s">
        <v>263</v>
      </c>
      <c r="B39" s="87" t="s">
        <v>516</v>
      </c>
      <c r="C39" s="11" t="s">
        <v>33</v>
      </c>
      <c r="D39" s="88" t="s">
        <v>288</v>
      </c>
      <c r="E39" s="119" t="s">
        <v>281</v>
      </c>
      <c r="F39" s="88" t="s">
        <v>361</v>
      </c>
      <c r="G39" s="11">
        <v>414</v>
      </c>
      <c r="H39" s="216">
        <v>516.9</v>
      </c>
      <c r="I39" s="178">
        <v>656.65</v>
      </c>
      <c r="J39" s="212"/>
      <c r="K39" s="212"/>
      <c r="L39" s="212"/>
      <c r="M39" s="212">
        <f t="shared" si="0"/>
        <v>1173.6</v>
      </c>
      <c r="N39" s="311"/>
    </row>
    <row r="40" spans="1:14" ht="193.5" customHeight="1">
      <c r="A40" s="126" t="s">
        <v>513</v>
      </c>
      <c r="B40" s="87" t="s">
        <v>514</v>
      </c>
      <c r="C40" s="119" t="s">
        <v>41</v>
      </c>
      <c r="D40" s="104" t="s">
        <v>288</v>
      </c>
      <c r="E40" s="119" t="s">
        <v>281</v>
      </c>
      <c r="F40" s="104" t="s">
        <v>511</v>
      </c>
      <c r="G40" s="119">
        <v>414</v>
      </c>
      <c r="H40" s="217"/>
      <c r="I40" s="214">
        <v>83271.82</v>
      </c>
      <c r="J40" s="215"/>
      <c r="K40" s="215"/>
      <c r="L40" s="215"/>
      <c r="M40" s="212">
        <f t="shared" si="0"/>
        <v>83271.8</v>
      </c>
      <c r="N40" s="312"/>
    </row>
    <row r="41" spans="1:14" ht="130.5" customHeight="1">
      <c r="A41" s="317" t="s">
        <v>515</v>
      </c>
      <c r="B41" s="284" t="s">
        <v>244</v>
      </c>
      <c r="C41" s="310" t="s">
        <v>64</v>
      </c>
      <c r="D41" s="308" t="s">
        <v>187</v>
      </c>
      <c r="E41" s="264" t="s">
        <v>283</v>
      </c>
      <c r="F41" s="308" t="s">
        <v>240</v>
      </c>
      <c r="G41" s="119">
        <v>244</v>
      </c>
      <c r="H41" s="217">
        <v>125</v>
      </c>
      <c r="I41" s="214"/>
      <c r="J41" s="215"/>
      <c r="K41" s="215"/>
      <c r="L41" s="215"/>
      <c r="M41" s="212">
        <f t="shared" si="0"/>
        <v>125</v>
      </c>
      <c r="N41" s="264" t="s">
        <v>275</v>
      </c>
    </row>
    <row r="42" spans="1:14" ht="130.5" customHeight="1">
      <c r="A42" s="319"/>
      <c r="B42" s="345"/>
      <c r="C42" s="312"/>
      <c r="D42" s="309"/>
      <c r="E42" s="265"/>
      <c r="F42" s="309"/>
      <c r="G42" s="119">
        <v>313</v>
      </c>
      <c r="H42" s="217">
        <v>8571.5</v>
      </c>
      <c r="I42" s="214"/>
      <c r="J42" s="215"/>
      <c r="K42" s="215"/>
      <c r="L42" s="215"/>
      <c r="M42" s="212">
        <f>SUM(H42:L42)</f>
        <v>8571.5</v>
      </c>
      <c r="N42" s="265"/>
    </row>
    <row r="43" spans="1:14" ht="22.5" customHeight="1">
      <c r="A43" s="329" t="s">
        <v>128</v>
      </c>
      <c r="B43" s="329"/>
      <c r="C43" s="89"/>
      <c r="D43" s="35"/>
      <c r="E43" s="35"/>
      <c r="F43" s="35"/>
      <c r="G43" s="35"/>
      <c r="H43" s="178">
        <f aca="true" t="shared" si="1" ref="H43:M43">SUM(H7:H42)</f>
        <v>144995.91</v>
      </c>
      <c r="I43" s="178">
        <f t="shared" si="1"/>
        <v>115476.17</v>
      </c>
      <c r="J43" s="212">
        <f t="shared" si="1"/>
        <v>45555.4</v>
      </c>
      <c r="K43" s="212">
        <f t="shared" si="1"/>
        <v>44337.5</v>
      </c>
      <c r="L43" s="212">
        <f t="shared" si="1"/>
        <v>44337.5</v>
      </c>
      <c r="M43" s="212">
        <f t="shared" si="1"/>
        <v>394702.6</v>
      </c>
      <c r="N43" s="32"/>
    </row>
    <row r="44" spans="1:14" ht="21.75" customHeight="1">
      <c r="A44" s="336" t="s">
        <v>410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8"/>
    </row>
    <row r="45" spans="1:14" ht="30.75" customHeight="1">
      <c r="A45" s="308" t="s">
        <v>264</v>
      </c>
      <c r="B45" s="326" t="s">
        <v>315</v>
      </c>
      <c r="C45" s="264" t="s">
        <v>45</v>
      </c>
      <c r="D45" s="308" t="s">
        <v>38</v>
      </c>
      <c r="E45" s="308" t="s">
        <v>284</v>
      </c>
      <c r="F45" s="308" t="s">
        <v>313</v>
      </c>
      <c r="G45" s="11" t="s">
        <v>288</v>
      </c>
      <c r="H45" s="178">
        <v>20509.31</v>
      </c>
      <c r="I45" s="178">
        <f>24650.23-80</f>
        <v>24570.23</v>
      </c>
      <c r="J45" s="212">
        <v>24957.2</v>
      </c>
      <c r="K45" s="212">
        <v>24957.2</v>
      </c>
      <c r="L45" s="212">
        <v>24957.2</v>
      </c>
      <c r="M45" s="212">
        <f aca="true" t="shared" si="2" ref="M45:M68">SUM(H45:L45)</f>
        <v>119951.1</v>
      </c>
      <c r="N45" s="264" t="s">
        <v>527</v>
      </c>
    </row>
    <row r="46" spans="1:14" ht="30.75" customHeight="1">
      <c r="A46" s="316"/>
      <c r="B46" s="359"/>
      <c r="C46" s="289"/>
      <c r="D46" s="316"/>
      <c r="E46" s="316"/>
      <c r="F46" s="316"/>
      <c r="G46" s="11" t="s">
        <v>184</v>
      </c>
      <c r="H46" s="178">
        <v>88.98</v>
      </c>
      <c r="I46" s="178"/>
      <c r="J46" s="212"/>
      <c r="K46" s="212"/>
      <c r="L46" s="212"/>
      <c r="M46" s="212">
        <f t="shared" si="2"/>
        <v>89</v>
      </c>
      <c r="N46" s="289"/>
    </row>
    <row r="47" spans="1:14" ht="30.75" customHeight="1">
      <c r="A47" s="316"/>
      <c r="B47" s="359"/>
      <c r="C47" s="289"/>
      <c r="D47" s="316"/>
      <c r="E47" s="316"/>
      <c r="F47" s="316"/>
      <c r="G47" s="11" t="s">
        <v>425</v>
      </c>
      <c r="H47" s="178">
        <v>354.17</v>
      </c>
      <c r="I47" s="178"/>
      <c r="J47" s="212"/>
      <c r="K47" s="212"/>
      <c r="L47" s="212"/>
      <c r="M47" s="212">
        <f t="shared" si="2"/>
        <v>354.2</v>
      </c>
      <c r="N47" s="289"/>
    </row>
    <row r="48" spans="1:14" ht="30.75" customHeight="1">
      <c r="A48" s="316"/>
      <c r="B48" s="359"/>
      <c r="C48" s="289"/>
      <c r="D48" s="316"/>
      <c r="E48" s="316"/>
      <c r="F48" s="316"/>
      <c r="G48" s="11" t="s">
        <v>286</v>
      </c>
      <c r="H48" s="178">
        <v>10714.29</v>
      </c>
      <c r="I48" s="178">
        <f>10351+100</f>
        <v>10451</v>
      </c>
      <c r="J48" s="212">
        <v>13642.4</v>
      </c>
      <c r="K48" s="212">
        <v>13642.4</v>
      </c>
      <c r="L48" s="212">
        <v>13642.4</v>
      </c>
      <c r="M48" s="212">
        <f t="shared" si="2"/>
        <v>62092.5</v>
      </c>
      <c r="N48" s="289"/>
    </row>
    <row r="49" spans="1:14" ht="30.75" customHeight="1">
      <c r="A49" s="316"/>
      <c r="B49" s="359"/>
      <c r="C49" s="289"/>
      <c r="D49" s="316"/>
      <c r="E49" s="316"/>
      <c r="F49" s="316"/>
      <c r="G49" s="11" t="s">
        <v>188</v>
      </c>
      <c r="H49" s="178">
        <v>10756.09</v>
      </c>
      <c r="I49" s="178">
        <v>12375.4</v>
      </c>
      <c r="J49" s="212">
        <v>14000</v>
      </c>
      <c r="K49" s="212">
        <v>14000</v>
      </c>
      <c r="L49" s="212">
        <v>14000</v>
      </c>
      <c r="M49" s="212">
        <f t="shared" si="2"/>
        <v>65131.5</v>
      </c>
      <c r="N49" s="289"/>
    </row>
    <row r="50" spans="1:14" ht="30.75" customHeight="1">
      <c r="A50" s="316"/>
      <c r="B50" s="359"/>
      <c r="C50" s="289"/>
      <c r="D50" s="316"/>
      <c r="E50" s="316"/>
      <c r="F50" s="316"/>
      <c r="G50" s="11">
        <v>612</v>
      </c>
      <c r="H50" s="178">
        <v>149</v>
      </c>
      <c r="I50" s="178"/>
      <c r="J50" s="212"/>
      <c r="K50" s="212"/>
      <c r="L50" s="212"/>
      <c r="M50" s="212">
        <f t="shared" si="2"/>
        <v>149</v>
      </c>
      <c r="N50" s="289"/>
    </row>
    <row r="51" spans="1:14" ht="30.75" customHeight="1">
      <c r="A51" s="316"/>
      <c r="B51" s="327"/>
      <c r="C51" s="289"/>
      <c r="D51" s="309"/>
      <c r="E51" s="309"/>
      <c r="F51" s="309"/>
      <c r="G51" s="11" t="s">
        <v>351</v>
      </c>
      <c r="H51" s="178">
        <v>29.9</v>
      </c>
      <c r="I51" s="178">
        <f>26.5+80</f>
        <v>106.5</v>
      </c>
      <c r="J51" s="212">
        <v>204.6</v>
      </c>
      <c r="K51" s="212">
        <v>204.6</v>
      </c>
      <c r="L51" s="212">
        <v>204.6</v>
      </c>
      <c r="M51" s="212">
        <f t="shared" si="2"/>
        <v>750.2</v>
      </c>
      <c r="N51" s="289"/>
    </row>
    <row r="52" spans="1:14" ht="79.5" customHeight="1">
      <c r="A52" s="316"/>
      <c r="B52" s="204" t="s">
        <v>506</v>
      </c>
      <c r="C52" s="11" t="s">
        <v>45</v>
      </c>
      <c r="D52" s="175" t="s">
        <v>38</v>
      </c>
      <c r="E52" s="175" t="s">
        <v>284</v>
      </c>
      <c r="F52" s="175" t="s">
        <v>505</v>
      </c>
      <c r="G52" s="11">
        <v>244</v>
      </c>
      <c r="H52" s="178"/>
      <c r="I52" s="178">
        <v>692.53</v>
      </c>
      <c r="J52" s="212"/>
      <c r="K52" s="212"/>
      <c r="L52" s="212"/>
      <c r="M52" s="212">
        <f t="shared" si="2"/>
        <v>692.5</v>
      </c>
      <c r="N52" s="289"/>
    </row>
    <row r="53" spans="1:14" ht="45.75" customHeight="1">
      <c r="A53" s="316"/>
      <c r="B53" s="326" t="s">
        <v>309</v>
      </c>
      <c r="C53" s="264" t="s">
        <v>45</v>
      </c>
      <c r="D53" s="308" t="s">
        <v>38</v>
      </c>
      <c r="E53" s="308" t="s">
        <v>284</v>
      </c>
      <c r="F53" s="308" t="s">
        <v>305</v>
      </c>
      <c r="G53" s="11" t="s">
        <v>288</v>
      </c>
      <c r="H53" s="178">
        <v>3105.91</v>
      </c>
      <c r="I53" s="178">
        <v>3733.3</v>
      </c>
      <c r="J53" s="212">
        <v>10002.4</v>
      </c>
      <c r="K53" s="212">
        <v>10002.4</v>
      </c>
      <c r="L53" s="212">
        <v>10002.4</v>
      </c>
      <c r="M53" s="212">
        <f t="shared" si="2"/>
        <v>36846.4</v>
      </c>
      <c r="N53" s="289"/>
    </row>
    <row r="54" spans="1:14" ht="45.75" customHeight="1">
      <c r="A54" s="316"/>
      <c r="B54" s="327"/>
      <c r="C54" s="265"/>
      <c r="D54" s="309"/>
      <c r="E54" s="309"/>
      <c r="F54" s="309"/>
      <c r="G54" s="11" t="s">
        <v>290</v>
      </c>
      <c r="H54" s="178">
        <v>1009.92</v>
      </c>
      <c r="I54" s="178">
        <v>929.5</v>
      </c>
      <c r="J54" s="212">
        <v>2363.7</v>
      </c>
      <c r="K54" s="212">
        <v>2363.7</v>
      </c>
      <c r="L54" s="212">
        <v>2363.7</v>
      </c>
      <c r="M54" s="212">
        <f t="shared" si="2"/>
        <v>9030.5</v>
      </c>
      <c r="N54" s="289"/>
    </row>
    <row r="55" spans="1:14" ht="73.5" customHeight="1">
      <c r="A55" s="316"/>
      <c r="B55" s="326" t="s">
        <v>276</v>
      </c>
      <c r="C55" s="264" t="s">
        <v>45</v>
      </c>
      <c r="D55" s="308" t="s">
        <v>38</v>
      </c>
      <c r="E55" s="308" t="s">
        <v>284</v>
      </c>
      <c r="F55" s="308" t="s">
        <v>255</v>
      </c>
      <c r="G55" s="11" t="s">
        <v>288</v>
      </c>
      <c r="H55" s="178">
        <v>201.92</v>
      </c>
      <c r="I55" s="178"/>
      <c r="J55" s="212"/>
      <c r="K55" s="212"/>
      <c r="L55" s="212"/>
      <c r="M55" s="212">
        <f t="shared" si="2"/>
        <v>201.9</v>
      </c>
      <c r="N55" s="289"/>
    </row>
    <row r="56" spans="1:14" ht="73.5" customHeight="1">
      <c r="A56" s="316"/>
      <c r="B56" s="327"/>
      <c r="C56" s="265"/>
      <c r="D56" s="309"/>
      <c r="E56" s="309"/>
      <c r="F56" s="309"/>
      <c r="G56" s="11" t="s">
        <v>290</v>
      </c>
      <c r="H56" s="178">
        <v>76.71</v>
      </c>
      <c r="I56" s="178"/>
      <c r="J56" s="212"/>
      <c r="K56" s="212"/>
      <c r="L56" s="212"/>
      <c r="M56" s="212">
        <f t="shared" si="2"/>
        <v>76.7</v>
      </c>
      <c r="N56" s="289"/>
    </row>
    <row r="57" spans="1:15" ht="33" customHeight="1">
      <c r="A57" s="316"/>
      <c r="B57" s="349" t="s">
        <v>316</v>
      </c>
      <c r="C57" s="264" t="s">
        <v>112</v>
      </c>
      <c r="D57" s="308" t="s">
        <v>38</v>
      </c>
      <c r="E57" s="308" t="s">
        <v>284</v>
      </c>
      <c r="F57" s="308" t="s">
        <v>314</v>
      </c>
      <c r="G57" s="11" t="s">
        <v>288</v>
      </c>
      <c r="H57" s="178">
        <f>60037.17-H58</f>
        <v>59857.75</v>
      </c>
      <c r="I57" s="178">
        <f>65849.89+306.6</f>
        <v>66156.49</v>
      </c>
      <c r="J57" s="212">
        <f>66148.9-150</f>
        <v>65998.9</v>
      </c>
      <c r="K57" s="212">
        <f>66148.9-150</f>
        <v>65998.9</v>
      </c>
      <c r="L57" s="212">
        <f>66148.9-150</f>
        <v>65998.9</v>
      </c>
      <c r="M57" s="212">
        <f t="shared" si="2"/>
        <v>324010.9</v>
      </c>
      <c r="N57" s="289"/>
      <c r="O57" s="1">
        <v>4</v>
      </c>
    </row>
    <row r="58" spans="1:14" ht="33" customHeight="1">
      <c r="A58" s="316"/>
      <c r="B58" s="349"/>
      <c r="C58" s="289"/>
      <c r="D58" s="316"/>
      <c r="E58" s="316"/>
      <c r="F58" s="316"/>
      <c r="G58" s="11" t="s">
        <v>184</v>
      </c>
      <c r="H58" s="178">
        <v>179.42</v>
      </c>
      <c r="I58" s="178">
        <v>299.01</v>
      </c>
      <c r="J58" s="212">
        <v>150</v>
      </c>
      <c r="K58" s="212">
        <v>150</v>
      </c>
      <c r="L58" s="212">
        <v>150</v>
      </c>
      <c r="M58" s="212">
        <f t="shared" si="2"/>
        <v>928.4</v>
      </c>
      <c r="N58" s="289"/>
    </row>
    <row r="59" spans="1:14" ht="33" customHeight="1">
      <c r="A59" s="316"/>
      <c r="B59" s="349"/>
      <c r="C59" s="289"/>
      <c r="D59" s="316"/>
      <c r="E59" s="316"/>
      <c r="F59" s="316"/>
      <c r="G59" s="11" t="s">
        <v>286</v>
      </c>
      <c r="H59" s="178">
        <v>3638.97</v>
      </c>
      <c r="I59" s="178">
        <f>2921-22.5-40</f>
        <v>2858.5</v>
      </c>
      <c r="J59" s="212">
        <v>2921</v>
      </c>
      <c r="K59" s="212">
        <v>2921</v>
      </c>
      <c r="L59" s="212">
        <v>2921</v>
      </c>
      <c r="M59" s="212">
        <f t="shared" si="2"/>
        <v>15260.5</v>
      </c>
      <c r="N59" s="289"/>
    </row>
    <row r="60" spans="1:14" ht="33" customHeight="1">
      <c r="A60" s="316"/>
      <c r="B60" s="349"/>
      <c r="C60" s="289"/>
      <c r="D60" s="316"/>
      <c r="E60" s="316"/>
      <c r="F60" s="316"/>
      <c r="G60" s="11" t="s">
        <v>188</v>
      </c>
      <c r="H60" s="178">
        <v>23172.68</v>
      </c>
      <c r="I60" s="178">
        <v>24145.5</v>
      </c>
      <c r="J60" s="212">
        <v>24145.5</v>
      </c>
      <c r="K60" s="212">
        <v>24145.5</v>
      </c>
      <c r="L60" s="212">
        <v>24145.5</v>
      </c>
      <c r="M60" s="212">
        <f t="shared" si="2"/>
        <v>119754.7</v>
      </c>
      <c r="N60" s="289"/>
    </row>
    <row r="61" spans="1:14" ht="33" customHeight="1">
      <c r="A61" s="309"/>
      <c r="B61" s="349"/>
      <c r="C61" s="289"/>
      <c r="D61" s="316"/>
      <c r="E61" s="316"/>
      <c r="F61" s="316"/>
      <c r="G61" s="11" t="s">
        <v>290</v>
      </c>
      <c r="H61" s="178">
        <v>380.08</v>
      </c>
      <c r="I61" s="178">
        <f>22.5+40</f>
        <v>62.5</v>
      </c>
      <c r="J61" s="212"/>
      <c r="K61" s="212"/>
      <c r="L61" s="212"/>
      <c r="M61" s="212">
        <f t="shared" si="2"/>
        <v>442.6</v>
      </c>
      <c r="N61" s="289"/>
    </row>
    <row r="62" spans="1:14" ht="78" customHeight="1">
      <c r="A62" s="175" t="s">
        <v>445</v>
      </c>
      <c r="B62" s="182" t="s">
        <v>279</v>
      </c>
      <c r="C62" s="119" t="s">
        <v>45</v>
      </c>
      <c r="D62" s="104" t="s">
        <v>38</v>
      </c>
      <c r="E62" s="104" t="s">
        <v>284</v>
      </c>
      <c r="F62" s="104" t="s">
        <v>258</v>
      </c>
      <c r="G62" s="11">
        <v>244</v>
      </c>
      <c r="H62" s="178">
        <v>69.3</v>
      </c>
      <c r="I62" s="178">
        <v>72.69</v>
      </c>
      <c r="J62" s="212"/>
      <c r="K62" s="212"/>
      <c r="L62" s="212"/>
      <c r="M62" s="212">
        <f t="shared" si="2"/>
        <v>142</v>
      </c>
      <c r="N62" s="11" t="s">
        <v>482</v>
      </c>
    </row>
    <row r="63" spans="1:14" ht="130.5" customHeight="1">
      <c r="A63" s="308" t="s">
        <v>446</v>
      </c>
      <c r="B63" s="351" t="s">
        <v>317</v>
      </c>
      <c r="C63" s="264" t="s">
        <v>36</v>
      </c>
      <c r="D63" s="308" t="s">
        <v>38</v>
      </c>
      <c r="E63" s="308" t="s">
        <v>283</v>
      </c>
      <c r="F63" s="308" t="s">
        <v>318</v>
      </c>
      <c r="G63" s="11" t="s">
        <v>286</v>
      </c>
      <c r="H63" s="178">
        <v>1793.48</v>
      </c>
      <c r="I63" s="178">
        <v>2735.5</v>
      </c>
      <c r="J63" s="212">
        <v>2734.5</v>
      </c>
      <c r="K63" s="212">
        <v>2734.5</v>
      </c>
      <c r="L63" s="212">
        <v>2734.5</v>
      </c>
      <c r="M63" s="212">
        <f t="shared" si="2"/>
        <v>12732.5</v>
      </c>
      <c r="N63" s="264" t="s">
        <v>521</v>
      </c>
    </row>
    <row r="64" spans="1:14" ht="159.75" customHeight="1">
      <c r="A64" s="309"/>
      <c r="B64" s="352"/>
      <c r="C64" s="265"/>
      <c r="D64" s="309"/>
      <c r="E64" s="309"/>
      <c r="F64" s="309"/>
      <c r="G64" s="11" t="s">
        <v>290</v>
      </c>
      <c r="H64" s="178">
        <v>1252.12</v>
      </c>
      <c r="I64" s="178">
        <v>1252.2</v>
      </c>
      <c r="J64" s="212">
        <v>1253.2</v>
      </c>
      <c r="K64" s="212">
        <v>1253.2</v>
      </c>
      <c r="L64" s="212">
        <v>1253.2</v>
      </c>
      <c r="M64" s="212">
        <f t="shared" si="2"/>
        <v>6263.9</v>
      </c>
      <c r="N64" s="265"/>
    </row>
    <row r="65" spans="1:14" ht="95.25" customHeight="1">
      <c r="A65" s="120" t="s">
        <v>382</v>
      </c>
      <c r="B65" s="137" t="s">
        <v>37</v>
      </c>
      <c r="C65" s="119" t="s">
        <v>36</v>
      </c>
      <c r="D65" s="104" t="s">
        <v>38</v>
      </c>
      <c r="E65" s="104" t="s">
        <v>289</v>
      </c>
      <c r="F65" s="104" t="s">
        <v>194</v>
      </c>
      <c r="G65" s="119">
        <v>244</v>
      </c>
      <c r="H65" s="214"/>
      <c r="I65" s="214"/>
      <c r="J65" s="215">
        <v>20</v>
      </c>
      <c r="K65" s="215">
        <v>20</v>
      </c>
      <c r="L65" s="215">
        <v>20</v>
      </c>
      <c r="M65" s="212">
        <f t="shared" si="2"/>
        <v>60</v>
      </c>
      <c r="N65" s="119" t="s">
        <v>528</v>
      </c>
    </row>
    <row r="66" spans="1:14" ht="42.75" customHeight="1">
      <c r="A66" s="317" t="s">
        <v>191</v>
      </c>
      <c r="B66" s="284" t="s">
        <v>192</v>
      </c>
      <c r="C66" s="264" t="s">
        <v>36</v>
      </c>
      <c r="D66" s="308" t="s">
        <v>38</v>
      </c>
      <c r="E66" s="308" t="s">
        <v>284</v>
      </c>
      <c r="F66" s="308" t="s">
        <v>193</v>
      </c>
      <c r="G66" s="119">
        <v>244</v>
      </c>
      <c r="H66" s="214">
        <v>4.1</v>
      </c>
      <c r="I66" s="214">
        <v>4.1</v>
      </c>
      <c r="J66" s="215">
        <v>4.1</v>
      </c>
      <c r="K66" s="215">
        <v>4.1</v>
      </c>
      <c r="L66" s="215">
        <v>4.1</v>
      </c>
      <c r="M66" s="212">
        <f t="shared" si="2"/>
        <v>20.5</v>
      </c>
      <c r="N66" s="264" t="s">
        <v>529</v>
      </c>
    </row>
    <row r="67" spans="1:14" ht="42.75" customHeight="1">
      <c r="A67" s="319"/>
      <c r="B67" s="345"/>
      <c r="C67" s="265"/>
      <c r="D67" s="309"/>
      <c r="E67" s="309"/>
      <c r="F67" s="309"/>
      <c r="G67" s="119">
        <v>612</v>
      </c>
      <c r="H67" s="214">
        <v>24</v>
      </c>
      <c r="I67" s="214">
        <f>24-9.05</f>
        <v>14.95</v>
      </c>
      <c r="J67" s="215">
        <v>24</v>
      </c>
      <c r="K67" s="215">
        <v>24</v>
      </c>
      <c r="L67" s="215">
        <v>24</v>
      </c>
      <c r="M67" s="212">
        <f t="shared" si="2"/>
        <v>111</v>
      </c>
      <c r="N67" s="265"/>
    </row>
    <row r="68" spans="1:14" ht="189" customHeight="1">
      <c r="A68" s="317" t="s">
        <v>265</v>
      </c>
      <c r="B68" s="183" t="s">
        <v>278</v>
      </c>
      <c r="C68" s="119" t="s">
        <v>259</v>
      </c>
      <c r="D68" s="104" t="s">
        <v>288</v>
      </c>
      <c r="E68" s="119" t="s">
        <v>284</v>
      </c>
      <c r="F68" s="104" t="s">
        <v>260</v>
      </c>
      <c r="G68" s="119">
        <v>244</v>
      </c>
      <c r="H68" s="214">
        <v>3187.5</v>
      </c>
      <c r="I68" s="214"/>
      <c r="J68" s="215"/>
      <c r="K68" s="215"/>
      <c r="L68" s="215"/>
      <c r="M68" s="212">
        <f t="shared" si="2"/>
        <v>3187.5</v>
      </c>
      <c r="N68" s="264" t="s">
        <v>481</v>
      </c>
    </row>
    <row r="69" spans="1:14" ht="108.75" customHeight="1">
      <c r="A69" s="319"/>
      <c r="B69" s="183" t="s">
        <v>277</v>
      </c>
      <c r="C69" s="119" t="s">
        <v>259</v>
      </c>
      <c r="D69" s="104" t="s">
        <v>288</v>
      </c>
      <c r="E69" s="119" t="s">
        <v>284</v>
      </c>
      <c r="F69" s="104" t="s">
        <v>242</v>
      </c>
      <c r="G69" s="119">
        <v>244</v>
      </c>
      <c r="H69" s="214">
        <v>32.2</v>
      </c>
      <c r="I69" s="214"/>
      <c r="J69" s="215"/>
      <c r="K69" s="215"/>
      <c r="L69" s="215"/>
      <c r="M69" s="212">
        <f>SUM(H69:L69)</f>
        <v>32.2</v>
      </c>
      <c r="N69" s="265"/>
    </row>
    <row r="70" spans="1:14" s="91" customFormat="1" ht="34.5" customHeight="1">
      <c r="A70" s="281" t="s">
        <v>129</v>
      </c>
      <c r="B70" s="281"/>
      <c r="C70" s="87"/>
      <c r="D70" s="87"/>
      <c r="E70" s="87"/>
      <c r="F70" s="87"/>
      <c r="G70" s="87"/>
      <c r="H70" s="218">
        <f aca="true" t="shared" si="3" ref="H70:M70">SUM(H45:H69)</f>
        <v>140587.8</v>
      </c>
      <c r="I70" s="218">
        <f t="shared" si="3"/>
        <v>150459.9</v>
      </c>
      <c r="J70" s="212">
        <f t="shared" si="3"/>
        <v>162421.5</v>
      </c>
      <c r="K70" s="212">
        <f t="shared" si="3"/>
        <v>162421.5</v>
      </c>
      <c r="L70" s="212">
        <f t="shared" si="3"/>
        <v>162421.5</v>
      </c>
      <c r="M70" s="212">
        <f t="shared" si="3"/>
        <v>778312.2</v>
      </c>
      <c r="N70" s="90"/>
    </row>
    <row r="71" spans="1:14" s="85" customFormat="1" ht="30" customHeight="1">
      <c r="A71" s="356" t="s">
        <v>51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8"/>
    </row>
    <row r="72" spans="1:14" s="85" customFormat="1" ht="127.5" customHeight="1">
      <c r="A72" s="36" t="s">
        <v>447</v>
      </c>
      <c r="B72" s="162" t="s">
        <v>429</v>
      </c>
      <c r="C72" s="10" t="s">
        <v>428</v>
      </c>
      <c r="D72" s="48">
        <v>137</v>
      </c>
      <c r="E72" s="48" t="s">
        <v>289</v>
      </c>
      <c r="F72" s="88" t="s">
        <v>319</v>
      </c>
      <c r="G72" s="48">
        <v>244</v>
      </c>
      <c r="H72" s="178">
        <v>28</v>
      </c>
      <c r="I72" s="178">
        <v>50</v>
      </c>
      <c r="J72" s="212">
        <v>70</v>
      </c>
      <c r="K72" s="212">
        <v>70</v>
      </c>
      <c r="L72" s="212">
        <v>70</v>
      </c>
      <c r="M72" s="212">
        <f>SUM(H72:L72)</f>
        <v>288</v>
      </c>
      <c r="N72" s="11" t="s">
        <v>118</v>
      </c>
    </row>
    <row r="73" spans="1:14" ht="114.75" customHeight="1">
      <c r="A73" s="36" t="s">
        <v>448</v>
      </c>
      <c r="B73" s="147" t="s">
        <v>100</v>
      </c>
      <c r="C73" s="10" t="s">
        <v>36</v>
      </c>
      <c r="D73" s="88" t="s">
        <v>38</v>
      </c>
      <c r="E73" s="88" t="s">
        <v>289</v>
      </c>
      <c r="F73" s="88" t="s">
        <v>320</v>
      </c>
      <c r="G73" s="104" t="s">
        <v>286</v>
      </c>
      <c r="H73" s="214">
        <v>20</v>
      </c>
      <c r="I73" s="214">
        <v>20</v>
      </c>
      <c r="J73" s="215">
        <v>20</v>
      </c>
      <c r="K73" s="215">
        <v>20</v>
      </c>
      <c r="L73" s="215">
        <v>20</v>
      </c>
      <c r="M73" s="212">
        <f aca="true" t="shared" si="4" ref="M73:M78">SUM(H73:L73)</f>
        <v>100</v>
      </c>
      <c r="N73" s="119" t="s">
        <v>99</v>
      </c>
    </row>
    <row r="74" spans="1:14" ht="69.75" customHeight="1">
      <c r="A74" s="36" t="s">
        <v>449</v>
      </c>
      <c r="B74" s="147" t="s">
        <v>506</v>
      </c>
      <c r="C74" s="10" t="s">
        <v>36</v>
      </c>
      <c r="D74" s="88" t="s">
        <v>38</v>
      </c>
      <c r="E74" s="88" t="s">
        <v>289</v>
      </c>
      <c r="F74" s="88" t="s">
        <v>505</v>
      </c>
      <c r="G74" s="104" t="s">
        <v>286</v>
      </c>
      <c r="H74" s="214"/>
      <c r="I74" s="214">
        <v>14.1</v>
      </c>
      <c r="J74" s="215"/>
      <c r="K74" s="215"/>
      <c r="L74" s="215"/>
      <c r="M74" s="212">
        <f t="shared" si="4"/>
        <v>14.1</v>
      </c>
      <c r="N74" s="119"/>
    </row>
    <row r="75" spans="1:14" ht="81.75" customHeight="1">
      <c r="A75" s="36" t="s">
        <v>450</v>
      </c>
      <c r="B75" s="147" t="s">
        <v>104</v>
      </c>
      <c r="C75" s="10" t="s">
        <v>36</v>
      </c>
      <c r="D75" s="88" t="s">
        <v>38</v>
      </c>
      <c r="E75" s="88" t="s">
        <v>289</v>
      </c>
      <c r="F75" s="88" t="s">
        <v>363</v>
      </c>
      <c r="G75" s="104" t="s">
        <v>286</v>
      </c>
      <c r="H75" s="214"/>
      <c r="I75" s="214"/>
      <c r="J75" s="215"/>
      <c r="K75" s="215"/>
      <c r="L75" s="215"/>
      <c r="M75" s="212">
        <f t="shared" si="4"/>
        <v>0</v>
      </c>
      <c r="N75" s="119" t="s">
        <v>427</v>
      </c>
    </row>
    <row r="76" spans="1:14" ht="81.75" customHeight="1">
      <c r="A76" s="36" t="s">
        <v>451</v>
      </c>
      <c r="B76" s="150" t="s">
        <v>102</v>
      </c>
      <c r="C76" s="10" t="s">
        <v>36</v>
      </c>
      <c r="D76" s="88" t="s">
        <v>38</v>
      </c>
      <c r="E76" s="88" t="s">
        <v>289</v>
      </c>
      <c r="F76" s="88" t="s">
        <v>364</v>
      </c>
      <c r="G76" s="88" t="s">
        <v>322</v>
      </c>
      <c r="H76" s="178"/>
      <c r="I76" s="178"/>
      <c r="J76" s="212"/>
      <c r="K76" s="212"/>
      <c r="L76" s="212"/>
      <c r="M76" s="212">
        <f t="shared" si="4"/>
        <v>0</v>
      </c>
      <c r="N76" s="11" t="s">
        <v>101</v>
      </c>
    </row>
    <row r="77" spans="1:14" ht="81.75" customHeight="1">
      <c r="A77" s="36" t="s">
        <v>452</v>
      </c>
      <c r="B77" s="150" t="s">
        <v>103</v>
      </c>
      <c r="C77" s="10" t="s">
        <v>36</v>
      </c>
      <c r="D77" s="88" t="s">
        <v>38</v>
      </c>
      <c r="E77" s="88" t="s">
        <v>289</v>
      </c>
      <c r="F77" s="88" t="s">
        <v>365</v>
      </c>
      <c r="G77" s="88" t="s">
        <v>286</v>
      </c>
      <c r="H77" s="178"/>
      <c r="I77" s="178"/>
      <c r="J77" s="212"/>
      <c r="K77" s="212"/>
      <c r="L77" s="212"/>
      <c r="M77" s="212">
        <f t="shared" si="4"/>
        <v>0</v>
      </c>
      <c r="N77" s="11" t="s">
        <v>96</v>
      </c>
    </row>
    <row r="78" spans="1:14" ht="81.75" customHeight="1">
      <c r="A78" s="36" t="s">
        <v>507</v>
      </c>
      <c r="B78" s="150" t="s">
        <v>97</v>
      </c>
      <c r="C78" s="10" t="s">
        <v>36</v>
      </c>
      <c r="D78" s="88" t="s">
        <v>38</v>
      </c>
      <c r="E78" s="88" t="s">
        <v>284</v>
      </c>
      <c r="F78" s="88" t="s">
        <v>366</v>
      </c>
      <c r="G78" s="88" t="s">
        <v>442</v>
      </c>
      <c r="H78" s="178"/>
      <c r="I78" s="178"/>
      <c r="J78" s="212"/>
      <c r="K78" s="212"/>
      <c r="L78" s="212"/>
      <c r="M78" s="212">
        <f t="shared" si="4"/>
        <v>0</v>
      </c>
      <c r="N78" s="14" t="s">
        <v>98</v>
      </c>
    </row>
    <row r="79" spans="1:14" s="67" customFormat="1" ht="24.75" customHeight="1">
      <c r="A79" s="330" t="s">
        <v>130</v>
      </c>
      <c r="B79" s="330"/>
      <c r="C79" s="89"/>
      <c r="D79" s="89"/>
      <c r="E79" s="89"/>
      <c r="F79" s="89"/>
      <c r="G79" s="89"/>
      <c r="H79" s="178">
        <f aca="true" t="shared" si="5" ref="H79:M79">SUM(H72:H78)</f>
        <v>48</v>
      </c>
      <c r="I79" s="178">
        <f t="shared" si="5"/>
        <v>84.1</v>
      </c>
      <c r="J79" s="212">
        <f t="shared" si="5"/>
        <v>90</v>
      </c>
      <c r="K79" s="212">
        <f t="shared" si="5"/>
        <v>90</v>
      </c>
      <c r="L79" s="212">
        <f t="shared" si="5"/>
        <v>90</v>
      </c>
      <c r="M79" s="212">
        <f t="shared" si="5"/>
        <v>402.1</v>
      </c>
      <c r="N79" s="14"/>
    </row>
    <row r="80" spans="1:14" ht="24.75" customHeight="1">
      <c r="A80" s="336" t="s">
        <v>52</v>
      </c>
      <c r="B80" s="337"/>
      <c r="C80" s="337"/>
      <c r="D80" s="337"/>
      <c r="E80" s="337"/>
      <c r="F80" s="337"/>
      <c r="G80" s="337"/>
      <c r="H80" s="337"/>
      <c r="I80" s="338"/>
      <c r="J80" s="211"/>
      <c r="K80" s="211"/>
      <c r="L80" s="211"/>
      <c r="M80" s="211"/>
      <c r="N80" s="14"/>
    </row>
    <row r="81" spans="1:14" ht="68.25" customHeight="1">
      <c r="A81" s="151" t="s">
        <v>453</v>
      </c>
      <c r="B81" s="163" t="s">
        <v>108</v>
      </c>
      <c r="C81" s="11" t="s">
        <v>428</v>
      </c>
      <c r="D81" s="88" t="s">
        <v>38</v>
      </c>
      <c r="E81" s="88" t="s">
        <v>289</v>
      </c>
      <c r="F81" s="88" t="s">
        <v>323</v>
      </c>
      <c r="G81" s="11" t="s">
        <v>517</v>
      </c>
      <c r="H81" s="179"/>
      <c r="I81" s="179">
        <v>20</v>
      </c>
      <c r="J81" s="212">
        <v>30</v>
      </c>
      <c r="K81" s="212">
        <v>30</v>
      </c>
      <c r="L81" s="212">
        <v>30</v>
      </c>
      <c r="M81" s="212">
        <f>SUM(H81:L81)</f>
        <v>110</v>
      </c>
      <c r="N81" s="11" t="s">
        <v>109</v>
      </c>
    </row>
    <row r="82" spans="1:14" ht="39" customHeight="1">
      <c r="A82" s="322" t="s">
        <v>454</v>
      </c>
      <c r="B82" s="324" t="s">
        <v>105</v>
      </c>
      <c r="C82" s="264" t="s">
        <v>428</v>
      </c>
      <c r="D82" s="308" t="s">
        <v>38</v>
      </c>
      <c r="E82" s="308" t="s">
        <v>289</v>
      </c>
      <c r="F82" s="308" t="s">
        <v>321</v>
      </c>
      <c r="G82" s="11">
        <v>244</v>
      </c>
      <c r="H82" s="179">
        <v>24</v>
      </c>
      <c r="I82" s="179">
        <v>20</v>
      </c>
      <c r="J82" s="212">
        <v>30</v>
      </c>
      <c r="K82" s="212">
        <v>30</v>
      </c>
      <c r="L82" s="212">
        <v>30</v>
      </c>
      <c r="M82" s="212">
        <f aca="true" t="shared" si="6" ref="M82:M94">SUM(H82:L82)</f>
        <v>134</v>
      </c>
      <c r="N82" s="264" t="s">
        <v>433</v>
      </c>
    </row>
    <row r="83" spans="1:14" ht="39" customHeight="1">
      <c r="A83" s="323"/>
      <c r="B83" s="325"/>
      <c r="C83" s="265"/>
      <c r="D83" s="309"/>
      <c r="E83" s="309"/>
      <c r="F83" s="309"/>
      <c r="G83" s="11">
        <v>612</v>
      </c>
      <c r="H83" s="179">
        <v>6</v>
      </c>
      <c r="I83" s="179"/>
      <c r="J83" s="212"/>
      <c r="K83" s="212"/>
      <c r="L83" s="212"/>
      <c r="M83" s="212">
        <f t="shared" si="6"/>
        <v>6</v>
      </c>
      <c r="N83" s="265"/>
    </row>
    <row r="84" spans="1:15" ht="75.75" customHeight="1">
      <c r="A84" s="203" t="s">
        <v>455</v>
      </c>
      <c r="B84" s="164" t="s">
        <v>106</v>
      </c>
      <c r="C84" s="119" t="s">
        <v>428</v>
      </c>
      <c r="D84" s="104" t="s">
        <v>38</v>
      </c>
      <c r="E84" s="104" t="s">
        <v>289</v>
      </c>
      <c r="F84" s="104" t="s">
        <v>324</v>
      </c>
      <c r="G84" s="11" t="s">
        <v>517</v>
      </c>
      <c r="H84" s="179">
        <v>71.06</v>
      </c>
      <c r="I84" s="179">
        <v>175</v>
      </c>
      <c r="J84" s="213">
        <v>175</v>
      </c>
      <c r="K84" s="213">
        <v>175</v>
      </c>
      <c r="L84" s="213">
        <v>175</v>
      </c>
      <c r="M84" s="212">
        <f t="shared" si="6"/>
        <v>771.1</v>
      </c>
      <c r="N84" s="119" t="s">
        <v>434</v>
      </c>
      <c r="O84" s="1">
        <f>SUM(H84:M84)</f>
        <v>1542.16</v>
      </c>
    </row>
    <row r="85" spans="1:14" ht="98.25" customHeight="1">
      <c r="A85" s="152" t="s">
        <v>456</v>
      </c>
      <c r="B85" s="163" t="s">
        <v>479</v>
      </c>
      <c r="C85" s="11" t="s">
        <v>428</v>
      </c>
      <c r="D85" s="88" t="s">
        <v>38</v>
      </c>
      <c r="E85" s="88" t="s">
        <v>289</v>
      </c>
      <c r="F85" s="88" t="s">
        <v>262</v>
      </c>
      <c r="G85" s="88" t="s">
        <v>286</v>
      </c>
      <c r="H85" s="178"/>
      <c r="I85" s="178">
        <v>20</v>
      </c>
      <c r="J85" s="212">
        <v>20</v>
      </c>
      <c r="K85" s="212">
        <v>20</v>
      </c>
      <c r="L85" s="212">
        <v>20</v>
      </c>
      <c r="M85" s="212">
        <f t="shared" si="6"/>
        <v>80</v>
      </c>
      <c r="N85" s="11" t="s">
        <v>480</v>
      </c>
    </row>
    <row r="86" spans="1:14" ht="75.75" customHeight="1">
      <c r="A86" s="152" t="s">
        <v>457</v>
      </c>
      <c r="B86" s="163" t="s">
        <v>436</v>
      </c>
      <c r="C86" s="11" t="s">
        <v>428</v>
      </c>
      <c r="D86" s="88" t="s">
        <v>38</v>
      </c>
      <c r="E86" s="88" t="s">
        <v>289</v>
      </c>
      <c r="F86" s="88" t="s">
        <v>325</v>
      </c>
      <c r="G86" s="88" t="s">
        <v>286</v>
      </c>
      <c r="H86" s="178"/>
      <c r="I86" s="178"/>
      <c r="J86" s="212"/>
      <c r="K86" s="212"/>
      <c r="L86" s="212"/>
      <c r="M86" s="212">
        <f t="shared" si="6"/>
        <v>0</v>
      </c>
      <c r="N86" s="11" t="s">
        <v>110</v>
      </c>
    </row>
    <row r="87" spans="1:14" ht="75.75" customHeight="1">
      <c r="A87" s="152" t="s">
        <v>458</v>
      </c>
      <c r="B87" s="163" t="s">
        <v>107</v>
      </c>
      <c r="C87" s="11" t="s">
        <v>428</v>
      </c>
      <c r="D87" s="88" t="s">
        <v>38</v>
      </c>
      <c r="E87" s="88" t="s">
        <v>289</v>
      </c>
      <c r="F87" s="88" t="s">
        <v>326</v>
      </c>
      <c r="G87" s="88" t="s">
        <v>286</v>
      </c>
      <c r="H87" s="178"/>
      <c r="I87" s="178"/>
      <c r="J87" s="212"/>
      <c r="K87" s="212"/>
      <c r="L87" s="212"/>
      <c r="M87" s="212">
        <f t="shared" si="6"/>
        <v>0</v>
      </c>
      <c r="N87" s="11" t="s">
        <v>435</v>
      </c>
    </row>
    <row r="88" spans="1:14" ht="85.5" customHeight="1">
      <c r="A88" s="332" t="s">
        <v>459</v>
      </c>
      <c r="B88" s="284" t="s">
        <v>328</v>
      </c>
      <c r="C88" s="264" t="s">
        <v>428</v>
      </c>
      <c r="D88" s="88" t="s">
        <v>38</v>
      </c>
      <c r="E88" s="88" t="s">
        <v>287</v>
      </c>
      <c r="F88" s="88" t="s">
        <v>330</v>
      </c>
      <c r="G88" s="88" t="s">
        <v>286</v>
      </c>
      <c r="H88" s="178">
        <v>885.13</v>
      </c>
      <c r="I88" s="178">
        <f>885.1-14.66</f>
        <v>870.44</v>
      </c>
      <c r="J88" s="212">
        <v>885.1</v>
      </c>
      <c r="K88" s="212">
        <v>885.1</v>
      </c>
      <c r="L88" s="212">
        <v>885.1</v>
      </c>
      <c r="M88" s="212">
        <f t="shared" si="6"/>
        <v>4410.9</v>
      </c>
      <c r="N88" s="313" t="s">
        <v>30</v>
      </c>
    </row>
    <row r="89" spans="1:14" ht="85.5" customHeight="1">
      <c r="A89" s="333"/>
      <c r="B89" s="345" t="s">
        <v>328</v>
      </c>
      <c r="C89" s="289"/>
      <c r="D89" s="88" t="s">
        <v>38</v>
      </c>
      <c r="E89" s="88" t="s">
        <v>287</v>
      </c>
      <c r="F89" s="88" t="s">
        <v>330</v>
      </c>
      <c r="G89" s="88" t="s">
        <v>290</v>
      </c>
      <c r="H89" s="178">
        <v>555.27</v>
      </c>
      <c r="I89" s="178">
        <f>555.2+14.66</f>
        <v>569.86</v>
      </c>
      <c r="J89" s="212">
        <v>555.2</v>
      </c>
      <c r="K89" s="212">
        <v>555.2</v>
      </c>
      <c r="L89" s="212">
        <v>555.2</v>
      </c>
      <c r="M89" s="212">
        <f t="shared" si="6"/>
        <v>2790.7</v>
      </c>
      <c r="N89" s="314"/>
    </row>
    <row r="90" spans="1:14" ht="85.5" customHeight="1">
      <c r="A90" s="334"/>
      <c r="B90" s="164" t="s">
        <v>327</v>
      </c>
      <c r="C90" s="265"/>
      <c r="D90" s="88" t="s">
        <v>38</v>
      </c>
      <c r="E90" s="88" t="s">
        <v>287</v>
      </c>
      <c r="F90" s="88" t="s">
        <v>329</v>
      </c>
      <c r="G90" s="88" t="s">
        <v>286</v>
      </c>
      <c r="H90" s="178">
        <v>14.57</v>
      </c>
      <c r="I90" s="178">
        <v>15.42</v>
      </c>
      <c r="J90" s="212">
        <v>15.4</v>
      </c>
      <c r="K90" s="212">
        <v>15.4</v>
      </c>
      <c r="L90" s="212">
        <v>15.4</v>
      </c>
      <c r="M90" s="212">
        <f t="shared" si="6"/>
        <v>76.2</v>
      </c>
      <c r="N90" s="315"/>
    </row>
    <row r="91" spans="1:14" ht="114.75" customHeight="1">
      <c r="A91" s="332" t="s">
        <v>460</v>
      </c>
      <c r="B91" s="164" t="s">
        <v>331</v>
      </c>
      <c r="C91" s="264" t="s">
        <v>428</v>
      </c>
      <c r="D91" s="88" t="s">
        <v>38</v>
      </c>
      <c r="E91" s="88" t="s">
        <v>287</v>
      </c>
      <c r="F91" s="88" t="s">
        <v>334</v>
      </c>
      <c r="G91" s="88" t="s">
        <v>261</v>
      </c>
      <c r="H91" s="178">
        <v>398.3</v>
      </c>
      <c r="I91" s="178">
        <f>405.3+19.1</f>
        <v>424.4</v>
      </c>
      <c r="J91" s="212">
        <v>405.3</v>
      </c>
      <c r="K91" s="212">
        <v>405.3</v>
      </c>
      <c r="L91" s="212">
        <v>405.3</v>
      </c>
      <c r="M91" s="212">
        <f t="shared" si="6"/>
        <v>2038.6</v>
      </c>
      <c r="N91" s="313" t="s">
        <v>196</v>
      </c>
    </row>
    <row r="92" spans="1:14" ht="114.75" customHeight="1">
      <c r="A92" s="333"/>
      <c r="B92" s="163" t="s">
        <v>332</v>
      </c>
      <c r="C92" s="265"/>
      <c r="D92" s="88" t="s">
        <v>38</v>
      </c>
      <c r="E92" s="88" t="s">
        <v>287</v>
      </c>
      <c r="F92" s="88" t="s">
        <v>333</v>
      </c>
      <c r="G92" s="88" t="s">
        <v>261</v>
      </c>
      <c r="H92" s="179">
        <v>170.74</v>
      </c>
      <c r="I92" s="179">
        <f>90+83.7+8.18</f>
        <v>181.88</v>
      </c>
      <c r="J92" s="213">
        <v>181.9</v>
      </c>
      <c r="K92" s="213">
        <v>181.9</v>
      </c>
      <c r="L92" s="213">
        <v>181.9</v>
      </c>
      <c r="M92" s="212">
        <f t="shared" si="6"/>
        <v>898.3</v>
      </c>
      <c r="N92" s="314"/>
    </row>
    <row r="93" spans="1:14" ht="134.25" customHeight="1">
      <c r="A93" s="334"/>
      <c r="B93" s="206" t="s">
        <v>508</v>
      </c>
      <c r="C93" s="202" t="s">
        <v>428</v>
      </c>
      <c r="D93" s="88" t="s">
        <v>38</v>
      </c>
      <c r="E93" s="88" t="s">
        <v>287</v>
      </c>
      <c r="F93" s="88" t="s">
        <v>509</v>
      </c>
      <c r="G93" s="88" t="s">
        <v>261</v>
      </c>
      <c r="H93" s="179"/>
      <c r="I93" s="179"/>
      <c r="J93" s="213"/>
      <c r="K93" s="213"/>
      <c r="L93" s="213"/>
      <c r="M93" s="212">
        <f t="shared" si="6"/>
        <v>0</v>
      </c>
      <c r="N93" s="315"/>
    </row>
    <row r="94" spans="1:14" ht="70.5" customHeight="1">
      <c r="A94" s="36" t="s">
        <v>238</v>
      </c>
      <c r="B94" s="150" t="s">
        <v>430</v>
      </c>
      <c r="C94" s="11" t="s">
        <v>33</v>
      </c>
      <c r="D94" s="88" t="s">
        <v>288</v>
      </c>
      <c r="E94" s="88" t="s">
        <v>289</v>
      </c>
      <c r="F94" s="88" t="s">
        <v>195</v>
      </c>
      <c r="G94" s="88" t="s">
        <v>286</v>
      </c>
      <c r="H94" s="178">
        <v>17</v>
      </c>
      <c r="I94" s="178"/>
      <c r="J94" s="212"/>
      <c r="K94" s="212"/>
      <c r="L94" s="212"/>
      <c r="M94" s="212">
        <f t="shared" si="6"/>
        <v>17</v>
      </c>
      <c r="N94" s="11" t="s">
        <v>431</v>
      </c>
    </row>
    <row r="95" spans="1:14" ht="23.25" customHeight="1">
      <c r="A95" s="329" t="s">
        <v>148</v>
      </c>
      <c r="B95" s="329"/>
      <c r="C95" s="11"/>
      <c r="D95" s="12"/>
      <c r="E95" s="12"/>
      <c r="F95" s="12"/>
      <c r="G95" s="12"/>
      <c r="H95" s="178">
        <f aca="true" t="shared" si="7" ref="H95:M95">SUM(H81:H94)</f>
        <v>2142.07</v>
      </c>
      <c r="I95" s="178">
        <f t="shared" si="7"/>
        <v>2297</v>
      </c>
      <c r="J95" s="212">
        <f t="shared" si="7"/>
        <v>2297.9</v>
      </c>
      <c r="K95" s="212">
        <f t="shared" si="7"/>
        <v>2297.9</v>
      </c>
      <c r="L95" s="212">
        <f t="shared" si="7"/>
        <v>2297.9</v>
      </c>
      <c r="M95" s="212">
        <f t="shared" si="7"/>
        <v>11332.8</v>
      </c>
      <c r="N95" s="32"/>
    </row>
    <row r="96" spans="1:14" ht="20.25" customHeight="1">
      <c r="A96" s="329" t="s">
        <v>232</v>
      </c>
      <c r="B96" s="329"/>
      <c r="C96" s="11"/>
      <c r="D96" s="12"/>
      <c r="E96" s="12"/>
      <c r="F96" s="12"/>
      <c r="G96" s="12"/>
      <c r="H96" s="178">
        <f>H43+H70+H79+H95</f>
        <v>287773.78</v>
      </c>
      <c r="I96" s="178">
        <f>I43+I70+I79+I95</f>
        <v>268317.17</v>
      </c>
      <c r="J96" s="212">
        <f>J43+J70+J79+J95</f>
        <v>210364.8</v>
      </c>
      <c r="K96" s="212">
        <f>K43+K70+K79+K95</f>
        <v>209146.9</v>
      </c>
      <c r="L96" s="212">
        <f>L43+L70+L79+L95</f>
        <v>209146.9</v>
      </c>
      <c r="M96" s="212">
        <f>SUM(H96:L96)</f>
        <v>1184749.6</v>
      </c>
      <c r="N96" s="32"/>
    </row>
    <row r="97" spans="1:13" s="3" customFormat="1" ht="15.75">
      <c r="A97" s="335"/>
      <c r="B97" s="335"/>
      <c r="C97" s="155"/>
      <c r="D97" s="109"/>
      <c r="E97" s="109"/>
      <c r="F97" s="109"/>
      <c r="G97" s="109"/>
      <c r="H97" s="159"/>
      <c r="I97" s="159"/>
      <c r="J97" s="156"/>
      <c r="K97" s="156"/>
      <c r="L97" s="156"/>
      <c r="M97" s="156"/>
    </row>
    <row r="98" spans="1:13" s="3" customFormat="1" ht="15.75">
      <c r="A98" s="331"/>
      <c r="B98" s="331"/>
      <c r="C98" s="76"/>
      <c r="D98" s="22"/>
      <c r="E98" s="22"/>
      <c r="F98" s="22"/>
      <c r="G98" s="22"/>
      <c r="H98" s="165"/>
      <c r="I98" s="165"/>
      <c r="J98" s="156"/>
      <c r="K98" s="156"/>
      <c r="L98" s="156"/>
      <c r="M98" s="156"/>
    </row>
    <row r="99" spans="1:14" ht="15.75">
      <c r="A99" s="328"/>
      <c r="B99" s="328"/>
      <c r="C99" s="328"/>
      <c r="D99" s="154"/>
      <c r="E99" s="154"/>
      <c r="F99" s="154"/>
      <c r="G99" s="154"/>
      <c r="H99" s="160"/>
      <c r="N99" s="46"/>
    </row>
    <row r="100" spans="1:13" ht="15.75">
      <c r="A100" s="16"/>
      <c r="D100" s="17"/>
      <c r="E100" s="17"/>
      <c r="F100" s="17"/>
      <c r="G100" s="17" t="s">
        <v>267</v>
      </c>
      <c r="H100" s="161">
        <f aca="true" t="shared" si="8" ref="H100:M100">H37</f>
        <v>2641.9</v>
      </c>
      <c r="I100" s="161">
        <f t="shared" si="8"/>
        <v>0</v>
      </c>
      <c r="J100" s="161">
        <f t="shared" si="8"/>
        <v>0</v>
      </c>
      <c r="K100" s="161">
        <f t="shared" si="8"/>
        <v>0</v>
      </c>
      <c r="L100" s="161">
        <f t="shared" si="8"/>
        <v>0</v>
      </c>
      <c r="M100" s="161">
        <f t="shared" si="8"/>
        <v>2641.9</v>
      </c>
    </row>
    <row r="101" spans="1:13" ht="15.75">
      <c r="A101" s="16"/>
      <c r="D101" s="17"/>
      <c r="E101" s="17"/>
      <c r="F101" s="17"/>
      <c r="G101" s="17" t="s">
        <v>357</v>
      </c>
      <c r="H101" s="161">
        <f>H92+H90+H87+H86+H84+H82+H81+H78+H77+H76+H75+H73+H72+H65+H54+H53+H51+H49+H48+H45+H18+H17+H16+H15+H13+H10+H9+H7+H66+H67+H46+H47+H11+H39+H33+H34+H83+H94+H35</f>
        <v>63969.81</v>
      </c>
      <c r="I101" s="161">
        <f>I92+I90+I87+I86+I84+I82+I81+I78+I77+I76+I75+I73+I72+I65+I54+I53+I51+I49+I48+I45+I18+I17+I16+I15+I13+I10+I9+I7+I66+I67+I46+I47+I11+I39+I33+I34+I83+I94+I35+I85+I74+I62+I52+I14</f>
        <v>71217.15</v>
      </c>
      <c r="J101" s="161">
        <f>J92+J90+J87+J86+J84+J82+J81+J78+J77+J76+J75+J73+J72+J65+J54+J53+J51+J49+J48+J45+J18+J17+J16+J15+J13+J10+J9+J7+J66+J67+J46+J47+J11+J39+J33+J34+J83+J94+J35+J85+J74+J62+J52+J14</f>
        <v>97860.5</v>
      </c>
      <c r="K101" s="161">
        <f>K92+K90+K87+K86+K84+K82+K81+K78+K77+K76+K75+K73+K72+K65+K54+K53+K51+K49+K48+K45+K18+K17+K16+K15+K13+K10+K9+K7+K66+K67+K46+K47+K11+K39+K33+K34+K83+K94+K35+K85+K74+K62+K52+K14</f>
        <v>96642.6</v>
      </c>
      <c r="L101" s="161">
        <f>L92+L90+L87+L86+L84+L82+L81+L78+L77+L76+L75+L73+L72+L65+L54+L53+L51+L49+L48+L45+L18+L17+L16+L15+L13+L10+L9+L7+L66+L67+L46+L47+L11+L39+L33+L34+L83+L94+L35+L85+L74+L62+L52+L14</f>
        <v>96642.6</v>
      </c>
      <c r="M101" s="161">
        <f>M92+M90+M87+M86+M84+M82+M81+M78+M77+M76+M75+M73+M72+M65+M54+M53+M51+M49+M48+M45+M18+M17+M16+M15+M13+M10+M9+M7+M66+M67+M46+M47+M11+M39+M33+M34+M83+M94+M35+M85+M74+M62+M52+M14</f>
        <v>426402.2</v>
      </c>
    </row>
    <row r="102" spans="1:13" ht="15.75">
      <c r="A102" s="16"/>
      <c r="D102" s="17"/>
      <c r="E102" s="17"/>
      <c r="F102" s="17"/>
      <c r="G102" s="17" t="s">
        <v>358</v>
      </c>
      <c r="H102" s="161">
        <f aca="true" t="shared" si="9" ref="H102:M102">H96-H101-H37</f>
        <v>221162.07</v>
      </c>
      <c r="I102" s="161">
        <f t="shared" si="9"/>
        <v>197100.02</v>
      </c>
      <c r="J102" s="161">
        <f t="shared" si="9"/>
        <v>112504.3</v>
      </c>
      <c r="K102" s="161">
        <f t="shared" si="9"/>
        <v>112504.3</v>
      </c>
      <c r="L102" s="161">
        <f t="shared" si="9"/>
        <v>112504.3</v>
      </c>
      <c r="M102" s="161">
        <f t="shared" si="9"/>
        <v>755705.5</v>
      </c>
    </row>
    <row r="103" spans="1:7" ht="15.75">
      <c r="A103" s="16"/>
      <c r="D103" s="17"/>
      <c r="E103" s="17"/>
      <c r="F103" s="17"/>
      <c r="G103" s="17"/>
    </row>
    <row r="104" spans="1:13" ht="15.75">
      <c r="A104" s="16"/>
      <c r="D104" s="17"/>
      <c r="E104" s="17"/>
      <c r="F104" s="17"/>
      <c r="G104" s="17" t="s">
        <v>246</v>
      </c>
      <c r="H104" s="103">
        <f>H92+H91+H90+H89+H88+H87+H86+H84+H83+H82+H81+H73+H72+H67+H66+H65+H64+H63+H61+H60+H59+H58+H57+H54+H53+H51+H49+H48+H47+H46+H45+H33+H31+H30+H29+H28+H27+H26+H25+H24+H23+H22+H21+H20+H18+H17+H16+H15+H13+H10+H9+H7+H75+H76+H77+H78+H62+H56+H55+H19+H12+H11+H8+H50</f>
        <v>169243.41</v>
      </c>
      <c r="I104" s="103">
        <f>I92+I91+I90+I89+I88+I87+I86+I84+I83+I82+I81+I73+I72+I67+I66+I65+I64+I63+I61+I60+I59+I58+I57+I54+I53+I51+I49+I48+I47+I46+I45+I33+I31+I30+I29+I28+I27+I26+I25+I24+I23+I22+I21+I20+I18+I17+I16+I15+I13+I10+I9+I7+I75+I76+I77+I78+I62+I56+I55+I19+I12+I11+I8+I50+I85+I74+I52+I14</f>
        <v>184388.7</v>
      </c>
      <c r="J104" s="103">
        <f>J92+J91+J90+J89+J88+J87+J86+J84+J83+J82+J81+J73+J72+J67+J66+J65+J64+J63+J61+J60+J59+J58+J57+J54+J53+J51+J49+J48+J47+J46+J45+J33+J31+J30+J29+J28+J27+J26+J25+J24+J23+J22+J21+J20+J18+J17+J16+J15+J13+J10+J9+J7+J75+J76+J77+J78+J62+J56+J55+J19+J12+J11+J8+J50+J85+J74+J52+J14</f>
        <v>210364.8</v>
      </c>
      <c r="K104" s="103">
        <f>K92+K91+K90+K89+K88+K87+K86+K84+K83+K82+K81+K73+K72+K67+K66+K65+K64+K63+K61+K60+K59+K58+K57+K54+K53+K51+K49+K48+K47+K46+K45+K33+K31+K30+K29+K28+K27+K26+K25+K24+K23+K22+K21+K20+K18+K17+K16+K15+K13+K10+K9+K7+K75+K76+K77+K78+K62+K56+K55+K19+K12+K11+K8+K50+K85+K74+K52+K14</f>
        <v>209146.9</v>
      </c>
      <c r="L104" s="103">
        <f>L92+L91+L90+L89+L88+L87+L86+L84+L83+L82+L81+L73+L72+L67+L66+L65+L64+L63+L61+L60+L59+L58+L57+L54+L53+L51+L49+L48+L47+L46+L45+L33+L31+L30+L29+L28+L27+L26+L25+L24+L23+L22+L21+L20+L18+L17+L16+L15+L13+L10+L9+L7+L75+L76+L77+L78+L62+L56+L55+L19+L12+L11+L8+L50+L85+L74+L52+L14</f>
        <v>209146.9</v>
      </c>
      <c r="M104" s="103">
        <f>M92+M91+M90+M89+M88+M87+M86+M84+M83+M82+M81+M73+M72+M67+M66+M65+M64+M63+M61+M60+M59+M58+M57+M54+M53+M51+M49+M48+M47+M46+M45+M33+M31+M30+M29+M28+M27+M26+M25+M24+M23+M22+M21+M20+M18+M17+M16+M15+M13+M10+M9+M7+M75+M76+M77+M78+M62+M56+M55+M19+M12+M11+M8+M50+M85+M74+M52+M14</f>
        <v>982290.8</v>
      </c>
    </row>
    <row r="105" spans="1:13" ht="15.75">
      <c r="A105" s="16"/>
      <c r="D105" s="17"/>
      <c r="E105" s="17"/>
      <c r="F105" s="17"/>
      <c r="G105" s="17" t="s">
        <v>247</v>
      </c>
      <c r="H105" s="103">
        <f aca="true" t="shared" si="10" ref="H105:M105">H94+H38+H35+H34+H39+H32+H69+H68+H37+H36+H40</f>
        <v>109833.87</v>
      </c>
      <c r="I105" s="103">
        <f t="shared" si="10"/>
        <v>83928.47</v>
      </c>
      <c r="J105" s="103">
        <f t="shared" si="10"/>
        <v>0</v>
      </c>
      <c r="K105" s="103">
        <f t="shared" si="10"/>
        <v>0</v>
      </c>
      <c r="L105" s="103">
        <f t="shared" si="10"/>
        <v>0</v>
      </c>
      <c r="M105" s="103">
        <f t="shared" si="10"/>
        <v>193762.4</v>
      </c>
    </row>
    <row r="106" spans="1:13" ht="15.75">
      <c r="A106" s="16"/>
      <c r="D106" s="17"/>
      <c r="E106" s="17"/>
      <c r="F106" s="17"/>
      <c r="G106" s="17" t="s">
        <v>248</v>
      </c>
      <c r="H106" s="103">
        <f aca="true" t="shared" si="11" ref="H106:M106">H41+H42</f>
        <v>8696.5</v>
      </c>
      <c r="I106" s="103">
        <f t="shared" si="11"/>
        <v>0</v>
      </c>
      <c r="J106" s="103">
        <f t="shared" si="11"/>
        <v>0</v>
      </c>
      <c r="K106" s="103">
        <f t="shared" si="11"/>
        <v>0</v>
      </c>
      <c r="L106" s="103">
        <f t="shared" si="11"/>
        <v>0</v>
      </c>
      <c r="M106" s="103">
        <f t="shared" si="11"/>
        <v>8696.5</v>
      </c>
    </row>
    <row r="107" spans="1:13" ht="15.75">
      <c r="A107" s="16"/>
      <c r="D107" s="17"/>
      <c r="E107" s="17"/>
      <c r="F107" s="17"/>
      <c r="G107" s="17"/>
      <c r="H107" s="103">
        <f aca="true" t="shared" si="12" ref="H107:M107">SUM(H104:H106)</f>
        <v>287773.78</v>
      </c>
      <c r="I107" s="103">
        <f t="shared" si="12"/>
        <v>268317.17</v>
      </c>
      <c r="J107" s="103">
        <f t="shared" si="12"/>
        <v>210364.8</v>
      </c>
      <c r="K107" s="103">
        <f t="shared" si="12"/>
        <v>209146.9</v>
      </c>
      <c r="L107" s="103">
        <f t="shared" si="12"/>
        <v>209146.9</v>
      </c>
      <c r="M107" s="103">
        <f t="shared" si="12"/>
        <v>1184749.7</v>
      </c>
    </row>
    <row r="108" spans="1:13" ht="15.75">
      <c r="A108" s="16"/>
      <c r="D108" s="17"/>
      <c r="E108" s="17"/>
      <c r="F108" s="17"/>
      <c r="G108" s="17"/>
      <c r="H108" s="103">
        <f>H96-H107</f>
        <v>0</v>
      </c>
      <c r="I108" s="103">
        <f>I96-I107</f>
        <v>0</v>
      </c>
      <c r="J108" s="103">
        <f>J96-J107</f>
        <v>0</v>
      </c>
      <c r="K108" s="103"/>
      <c r="L108" s="103"/>
      <c r="M108" s="1"/>
    </row>
    <row r="109" spans="1:13" ht="15.75">
      <c r="A109" s="16"/>
      <c r="D109" s="17"/>
      <c r="E109" s="17"/>
      <c r="F109" s="17"/>
      <c r="G109" s="17"/>
      <c r="H109" s="1"/>
      <c r="I109" s="1"/>
      <c r="J109" s="1"/>
      <c r="K109" s="1"/>
      <c r="L109" s="1"/>
      <c r="M109" s="1"/>
    </row>
    <row r="110" spans="1:13" ht="15.75">
      <c r="A110" s="16"/>
      <c r="D110" s="17"/>
      <c r="E110" s="17"/>
      <c r="F110" s="17"/>
      <c r="G110" s="17"/>
      <c r="H110" s="72"/>
      <c r="I110" s="103"/>
      <c r="J110" s="103">
        <f>185281.32-J96</f>
        <v>-25083.48</v>
      </c>
      <c r="K110" s="103"/>
      <c r="L110" s="103"/>
      <c r="M110" s="1"/>
    </row>
    <row r="111" spans="1:13" ht="15.75">
      <c r="A111" s="16"/>
      <c r="D111" s="17"/>
      <c r="E111" s="17"/>
      <c r="F111" s="17"/>
      <c r="G111" s="17"/>
      <c r="H111" s="1"/>
      <c r="I111" s="1"/>
      <c r="J111" s="1"/>
      <c r="K111" s="1"/>
      <c r="L111" s="1"/>
      <c r="M111" s="1"/>
    </row>
    <row r="112" spans="1:13" ht="15.75">
      <c r="A112" s="16"/>
      <c r="D112" s="17"/>
      <c r="E112" s="17"/>
      <c r="F112" s="17"/>
      <c r="G112" s="17"/>
      <c r="H112" s="1"/>
      <c r="I112" s="1"/>
      <c r="J112" s="1"/>
      <c r="K112" s="1"/>
      <c r="L112" s="1"/>
      <c r="M112" s="1"/>
    </row>
    <row r="113" spans="1:13" ht="15.75">
      <c r="A113" s="16"/>
      <c r="D113" s="17"/>
      <c r="E113" s="17"/>
      <c r="F113" s="17"/>
      <c r="G113" s="17"/>
      <c r="H113" s="1"/>
      <c r="I113" s="1"/>
      <c r="J113" s="1"/>
      <c r="K113" s="1"/>
      <c r="L113" s="1"/>
      <c r="M113" s="1"/>
    </row>
    <row r="114" spans="1:13" ht="15.75">
      <c r="A114" s="16"/>
      <c r="D114" s="17"/>
      <c r="E114" s="17"/>
      <c r="F114" s="17"/>
      <c r="G114" s="17"/>
      <c r="H114" s="1"/>
      <c r="I114" s="1"/>
      <c r="J114" s="1"/>
      <c r="K114" s="1"/>
      <c r="L114" s="1"/>
      <c r="M114" s="1"/>
    </row>
    <row r="115" spans="1:13" ht="15.75">
      <c r="A115" s="16"/>
      <c r="D115" s="17"/>
      <c r="E115" s="17"/>
      <c r="F115" s="17"/>
      <c r="G115" s="17"/>
      <c r="H115" s="1"/>
      <c r="I115" s="1"/>
      <c r="J115" s="1"/>
      <c r="K115" s="1"/>
      <c r="L115" s="1"/>
      <c r="M115" s="1"/>
    </row>
    <row r="116" spans="1:13" ht="15.75">
      <c r="A116" s="16"/>
      <c r="D116" s="17"/>
      <c r="E116" s="17"/>
      <c r="F116" s="17"/>
      <c r="G116" s="17"/>
      <c r="H116" s="1"/>
      <c r="I116" s="1"/>
      <c r="J116" s="1"/>
      <c r="K116" s="1"/>
      <c r="L116" s="1"/>
      <c r="M116" s="1"/>
    </row>
    <row r="117" spans="1:13" ht="15.75">
      <c r="A117" s="16"/>
      <c r="D117" s="17"/>
      <c r="E117" s="17"/>
      <c r="F117" s="17"/>
      <c r="G117" s="17"/>
      <c r="H117" s="1"/>
      <c r="I117" s="1"/>
      <c r="J117" s="1"/>
      <c r="K117" s="1"/>
      <c r="L117" s="1"/>
      <c r="M117" s="1"/>
    </row>
    <row r="118" spans="1:13" ht="15.75">
      <c r="A118" s="16"/>
      <c r="D118" s="17"/>
      <c r="E118" s="17"/>
      <c r="F118" s="17"/>
      <c r="G118" s="17"/>
      <c r="H118" s="1"/>
      <c r="I118" s="1"/>
      <c r="J118" s="1"/>
      <c r="K118" s="1"/>
      <c r="L118" s="1"/>
      <c r="M118" s="1"/>
    </row>
    <row r="119" spans="1:13" ht="15.75">
      <c r="A119" s="16"/>
      <c r="D119" s="17"/>
      <c r="E119" s="17"/>
      <c r="F119" s="17"/>
      <c r="G119" s="17"/>
      <c r="H119" s="1"/>
      <c r="I119" s="1"/>
      <c r="J119" s="1"/>
      <c r="K119" s="1"/>
      <c r="L119" s="1"/>
      <c r="M119" s="1"/>
    </row>
    <row r="120" spans="1:13" ht="15.75">
      <c r="A120" s="16"/>
      <c r="D120" s="17"/>
      <c r="E120" s="17"/>
      <c r="F120" s="17"/>
      <c r="G120" s="17"/>
      <c r="H120" s="1"/>
      <c r="I120" s="1"/>
      <c r="J120" s="1"/>
      <c r="K120" s="1"/>
      <c r="L120" s="1"/>
      <c r="M120" s="1"/>
    </row>
    <row r="121" spans="1:13" ht="15.75">
      <c r="A121" s="16"/>
      <c r="D121" s="17"/>
      <c r="E121" s="17"/>
      <c r="F121" s="17"/>
      <c r="G121" s="17"/>
      <c r="H121" s="1"/>
      <c r="I121" s="1"/>
      <c r="J121" s="1"/>
      <c r="K121" s="1"/>
      <c r="L121" s="1"/>
      <c r="M121" s="1"/>
    </row>
    <row r="122" spans="1:13" ht="15.75">
      <c r="A122" s="16"/>
      <c r="D122" s="17"/>
      <c r="E122" s="17"/>
      <c r="F122" s="17"/>
      <c r="G122" s="17"/>
      <c r="H122" s="1"/>
      <c r="I122" s="1"/>
      <c r="J122" s="1"/>
      <c r="K122" s="1"/>
      <c r="L122" s="1"/>
      <c r="M122" s="1"/>
    </row>
    <row r="123" spans="1:13" ht="15.75">
      <c r="A123" s="16"/>
      <c r="D123" s="17"/>
      <c r="E123" s="17"/>
      <c r="F123" s="17"/>
      <c r="G123" s="17"/>
      <c r="H123" s="1"/>
      <c r="I123" s="1"/>
      <c r="J123" s="1"/>
      <c r="K123" s="1"/>
      <c r="L123" s="1"/>
      <c r="M123" s="1"/>
    </row>
    <row r="124" spans="1:13" ht="15.75">
      <c r="A124" s="16"/>
      <c r="D124" s="17"/>
      <c r="E124" s="17"/>
      <c r="F124" s="17"/>
      <c r="G124" s="17"/>
      <c r="H124" s="1"/>
      <c r="I124" s="1"/>
      <c r="J124" s="1"/>
      <c r="K124" s="1"/>
      <c r="L124" s="1"/>
      <c r="M124" s="1"/>
    </row>
    <row r="125" spans="1:13" ht="15.75">
      <c r="A125" s="16"/>
      <c r="D125" s="17"/>
      <c r="E125" s="17"/>
      <c r="F125" s="17"/>
      <c r="G125" s="17"/>
      <c r="H125" s="1"/>
      <c r="I125" s="1"/>
      <c r="J125" s="1"/>
      <c r="K125" s="1"/>
      <c r="L125" s="1"/>
      <c r="M125" s="1"/>
    </row>
    <row r="126" spans="1:13" ht="15.75">
      <c r="A126" s="16"/>
      <c r="D126" s="17"/>
      <c r="E126" s="17"/>
      <c r="F126" s="17"/>
      <c r="G126" s="17"/>
      <c r="H126" s="1"/>
      <c r="I126" s="1"/>
      <c r="J126" s="1"/>
      <c r="K126" s="1"/>
      <c r="L126" s="1"/>
      <c r="M126" s="1"/>
    </row>
    <row r="127" spans="1:13" ht="15.75">
      <c r="A127" s="16"/>
      <c r="D127" s="17"/>
      <c r="E127" s="17"/>
      <c r="F127" s="17"/>
      <c r="G127" s="17"/>
      <c r="H127" s="1"/>
      <c r="I127" s="1"/>
      <c r="J127" s="1"/>
      <c r="K127" s="1"/>
      <c r="L127" s="1"/>
      <c r="M127" s="1"/>
    </row>
    <row r="128" spans="1:13" ht="15.75">
      <c r="A128" s="16"/>
      <c r="D128" s="17"/>
      <c r="E128" s="17"/>
      <c r="F128" s="17"/>
      <c r="G128" s="17"/>
      <c r="H128" s="1"/>
      <c r="I128" s="1"/>
      <c r="J128" s="1"/>
      <c r="K128" s="1"/>
      <c r="L128" s="1"/>
      <c r="M128" s="1"/>
    </row>
    <row r="129" spans="1:13" ht="15.75">
      <c r="A129" s="16"/>
      <c r="D129" s="17"/>
      <c r="E129" s="17"/>
      <c r="F129" s="17"/>
      <c r="G129" s="17"/>
      <c r="H129" s="1"/>
      <c r="I129" s="1"/>
      <c r="J129" s="1"/>
      <c r="K129" s="1"/>
      <c r="L129" s="1"/>
      <c r="M129" s="1"/>
    </row>
  </sheetData>
  <sheetProtection/>
  <autoFilter ref="A4:Q96"/>
  <mergeCells count="130">
    <mergeCell ref="A30:A31"/>
    <mergeCell ref="A28:A29"/>
    <mergeCell ref="B28:B29"/>
    <mergeCell ref="C28:C29"/>
    <mergeCell ref="F30:F31"/>
    <mergeCell ref="N68:N69"/>
    <mergeCell ref="A32:A38"/>
    <mergeCell ref="A41:A42"/>
    <mergeCell ref="B41:B42"/>
    <mergeCell ref="C41:C42"/>
    <mergeCell ref="N26:N27"/>
    <mergeCell ref="E28:E29"/>
    <mergeCell ref="N41:N42"/>
    <mergeCell ref="E63:E64"/>
    <mergeCell ref="A66:A67"/>
    <mergeCell ref="A91:A93"/>
    <mergeCell ref="E41:E42"/>
    <mergeCell ref="F41:F42"/>
    <mergeCell ref="C30:C31"/>
    <mergeCell ref="D30:D31"/>
    <mergeCell ref="N28:N29"/>
    <mergeCell ref="N30:N31"/>
    <mergeCell ref="D41:D42"/>
    <mergeCell ref="E30:E31"/>
    <mergeCell ref="B45:B51"/>
    <mergeCell ref="A20:A25"/>
    <mergeCell ref="B26:B27"/>
    <mergeCell ref="C26:C27"/>
    <mergeCell ref="F20:F25"/>
    <mergeCell ref="E20:E25"/>
    <mergeCell ref="D26:D27"/>
    <mergeCell ref="E26:E27"/>
    <mergeCell ref="D20:D25"/>
    <mergeCell ref="C20:C25"/>
    <mergeCell ref="A45:A61"/>
    <mergeCell ref="B88:B89"/>
    <mergeCell ref="C53:C54"/>
    <mergeCell ref="D53:D54"/>
    <mergeCell ref="E53:E54"/>
    <mergeCell ref="C57:C61"/>
    <mergeCell ref="B66:B67"/>
    <mergeCell ref="D66:D67"/>
    <mergeCell ref="E66:E67"/>
    <mergeCell ref="D63:D64"/>
    <mergeCell ref="N45:N61"/>
    <mergeCell ref="D28:D29"/>
    <mergeCell ref="D45:D51"/>
    <mergeCell ref="C66:C67"/>
    <mergeCell ref="F45:F51"/>
    <mergeCell ref="C63:C64"/>
    <mergeCell ref="N7:N25"/>
    <mergeCell ref="B63:B64"/>
    <mergeCell ref="D57:D61"/>
    <mergeCell ref="F28:F29"/>
    <mergeCell ref="B20:B25"/>
    <mergeCell ref="N88:N90"/>
    <mergeCell ref="A70:B70"/>
    <mergeCell ref="A71:N71"/>
    <mergeCell ref="B57:B61"/>
    <mergeCell ref="F57:F61"/>
    <mergeCell ref="A63:A64"/>
    <mergeCell ref="N82:N83"/>
    <mergeCell ref="F17:F18"/>
    <mergeCell ref="A26:A27"/>
    <mergeCell ref="B53:B54"/>
    <mergeCell ref="A68:A69"/>
    <mergeCell ref="E45:E51"/>
    <mergeCell ref="A44:N44"/>
    <mergeCell ref="N63:N64"/>
    <mergeCell ref="F26:F27"/>
    <mergeCell ref="B30:B31"/>
    <mergeCell ref="F7:F13"/>
    <mergeCell ref="A43:B43"/>
    <mergeCell ref="C45:C51"/>
    <mergeCell ref="A5:N5"/>
    <mergeCell ref="A6:N6"/>
    <mergeCell ref="D15:D16"/>
    <mergeCell ref="E15:E16"/>
    <mergeCell ref="B15:B16"/>
    <mergeCell ref="D7:D13"/>
    <mergeCell ref="F15:F16"/>
    <mergeCell ref="E7:E13"/>
    <mergeCell ref="A17:A18"/>
    <mergeCell ref="B17:B18"/>
    <mergeCell ref="C15:C16"/>
    <mergeCell ref="A15:A16"/>
    <mergeCell ref="C17:C18"/>
    <mergeCell ref="D17:D18"/>
    <mergeCell ref="B7:B13"/>
    <mergeCell ref="C7:C13"/>
    <mergeCell ref="E17:E18"/>
    <mergeCell ref="M1:N1"/>
    <mergeCell ref="A2:N2"/>
    <mergeCell ref="A3:A4"/>
    <mergeCell ref="B3:B4"/>
    <mergeCell ref="C3:C4"/>
    <mergeCell ref="D3:G3"/>
    <mergeCell ref="H3:M3"/>
    <mergeCell ref="N3:N4"/>
    <mergeCell ref="H1:I1"/>
    <mergeCell ref="A99:C99"/>
    <mergeCell ref="A95:B95"/>
    <mergeCell ref="A79:B79"/>
    <mergeCell ref="A98:B98"/>
    <mergeCell ref="C88:C90"/>
    <mergeCell ref="A88:A90"/>
    <mergeCell ref="A97:B97"/>
    <mergeCell ref="A80:I80"/>
    <mergeCell ref="A96:B96"/>
    <mergeCell ref="C91:C92"/>
    <mergeCell ref="A7:A14"/>
    <mergeCell ref="B32:B38"/>
    <mergeCell ref="F55:F56"/>
    <mergeCell ref="A82:A83"/>
    <mergeCell ref="B82:B83"/>
    <mergeCell ref="C82:C83"/>
    <mergeCell ref="B55:B56"/>
    <mergeCell ref="F53:F54"/>
    <mergeCell ref="C55:C56"/>
    <mergeCell ref="D55:D56"/>
    <mergeCell ref="D82:D83"/>
    <mergeCell ref="E82:E83"/>
    <mergeCell ref="F66:F67"/>
    <mergeCell ref="F63:F64"/>
    <mergeCell ref="N32:N40"/>
    <mergeCell ref="N91:N93"/>
    <mergeCell ref="E55:E56"/>
    <mergeCell ref="F82:F83"/>
    <mergeCell ref="E57:E61"/>
    <mergeCell ref="N66:N67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9" r:id="rId1"/>
  <headerFooter differentFirst="1">
    <oddHeader>&amp;C&amp;P</oddHeader>
  </headerFooter>
  <rowBreaks count="4" manualBreakCount="4">
    <brk id="25" max="13" man="1"/>
    <brk id="40" max="12" man="1"/>
    <brk id="64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2015-10-07T07:25:21Z</cp:lastPrinted>
  <dcterms:created xsi:type="dcterms:W3CDTF">2005-05-23T09:57:53Z</dcterms:created>
  <dcterms:modified xsi:type="dcterms:W3CDTF">2015-10-30T04:38:50Z</dcterms:modified>
  <cp:category/>
  <cp:version/>
  <cp:contentType/>
  <cp:contentStatus/>
</cp:coreProperties>
</file>